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drawings/drawing7.xml" ContentType="application/vnd.openxmlformats-officedocument.drawing+xml"/>
  <Override PartName="/xl/ctrlProps/ctrlProp6.xml" ContentType="application/vnd.ms-excel.controlproperties+xml"/>
  <Override PartName="/xl/drawings/drawing8.xml" ContentType="application/vnd.openxmlformats-officedocument.drawing+xml"/>
  <Override PartName="/xl/ctrlProps/ctrlProp7.xml" ContentType="application/vnd.ms-excel.controlproperties+xml"/>
  <Override PartName="/xl/drawings/drawing9.xml" ContentType="application/vnd.openxmlformats-officedocument.drawing+xml"/>
  <Override PartName="/xl/ctrlProps/ctrlProp8.xml" ContentType="application/vnd.ms-excel.controlproperties+xml"/>
  <Override PartName="/xl/drawings/drawing10.xml" ContentType="application/vnd.openxmlformats-officedocument.drawing+xml"/>
  <Override PartName="/xl/ctrlProps/ctrlProp9.xml" ContentType="application/vnd.ms-excel.controlproperties+xml"/>
  <Override PartName="/xl/drawings/drawing11.xml" ContentType="application/vnd.openxmlformats-officedocument.drawing+xml"/>
  <Override PartName="/xl/ctrlProps/ctrlProp10.xml" ContentType="application/vnd.ms-excel.controlproperties+xml"/>
  <Override PartName="/xl/drawings/drawing1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1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14.xml" ContentType="application/vnd.openxmlformats-officedocument.drawing+xml"/>
  <Override PartName="/xl/ctrlProps/ctrlProp17.xml" ContentType="application/vnd.ms-excel.controlproperties+xml"/>
  <Override PartName="/xl/drawings/drawing15.xml" ContentType="application/vnd.openxmlformats-officedocument.drawing+xml"/>
  <Override PartName="/xl/ctrlProps/ctrlProp18.xml" ContentType="application/vnd.ms-excel.controlproperties+xml"/>
  <Override PartName="/xl/drawings/drawing16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17.xml" ContentType="application/vnd.openxmlformats-officedocument.drawing+xml"/>
  <Override PartName="/xl/ctrlProps/ctrlProp22.xml" ContentType="application/vnd.ms-excel.controlproperties+xml"/>
  <Override PartName="/xl/drawings/drawing18.xml" ContentType="application/vnd.openxmlformats-officedocument.drawing+xml"/>
  <Override PartName="/xl/ctrlProps/ctrlProp23.xml" ContentType="application/vnd.ms-excel.controlproperties+xml"/>
  <Override PartName="/xl/drawings/drawing19.xml" ContentType="application/vnd.openxmlformats-officedocument.drawing+xml"/>
  <Override PartName="/xl/ctrlProps/ctrlProp24.xml" ContentType="application/vnd.ms-excel.controlproperties+xml"/>
  <Override PartName="/xl/drawings/drawing20.xml" ContentType="application/vnd.openxmlformats-officedocument.drawing+xml"/>
  <Override PartName="/xl/ctrlProps/ctrlProp25.xml" ContentType="application/vnd.ms-excel.controlproperties+xml"/>
  <Override PartName="/xl/drawings/drawing21.xml" ContentType="application/vnd.openxmlformats-officedocument.drawing+xml"/>
  <Override PartName="/xl/ctrlProps/ctrlProp26.xml" ContentType="application/vnd.ms-excel.controlproperties+xml"/>
  <Override PartName="/xl/drawings/drawing22.xml" ContentType="application/vnd.openxmlformats-officedocument.drawing+xml"/>
  <Override PartName="/xl/ctrlProps/ctrlProp27.xml" ContentType="application/vnd.ms-excel.controlproperties+xml"/>
  <Override PartName="/xl/drawings/drawing23.xml" ContentType="application/vnd.openxmlformats-officedocument.drawing+xml"/>
  <Override PartName="/xl/ctrlProps/ctrlProp28.xml" ContentType="application/vnd.ms-excel.controlproperties+xml"/>
  <Override PartName="/xl/drawings/drawing24.xml" ContentType="application/vnd.openxmlformats-officedocument.drawing+xml"/>
  <Override PartName="/xl/ctrlProps/ctrlProp29.xml" ContentType="application/vnd.ms-excel.controlproperties+xml"/>
  <Override PartName="/xl/drawings/drawing25.xml" ContentType="application/vnd.openxmlformats-officedocument.drawing+xml"/>
  <Override PartName="/xl/ctrlProps/ctrlProp30.xml" ContentType="application/vnd.ms-excel.controlproperties+xml"/>
  <Override PartName="/xl/drawings/drawing26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31.xml" ContentType="application/vnd.ms-excel.controlproperties+xml"/>
  <Override PartName="/xl/ctrlProps/ctrlProp3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7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loudconvert\server\files\tasks\c5c8a988-c545-4785-a80d-b69a09dc4957\"/>
    </mc:Choice>
  </mc:AlternateContent>
  <xr:revisionPtr revIDLastSave="0" documentId="8_{2B942737-939B-47DE-BA96-DF67A3E9293F}" xr6:coauthVersionLast="47" xr6:coauthVersionMax="47" xr10:uidLastSave="{00000000-0000-0000-0000-000000000000}"/>
  <bookViews>
    <workbookView xWindow="2340" yWindow="2340" windowWidth="11520" windowHeight="7875" xr2:uid="{8EEE25A4-46F0-494B-B83C-F588F70FF833}"/>
  </bookViews>
  <sheets>
    <sheet name="Table of Contents" sheetId="1" r:id="rId1"/>
    <sheet name="Full Time Hourly" sheetId="9" r:id="rId2"/>
    <sheet name="Full Time Semi-Monthly" sheetId="3" r:id="rId3"/>
    <sheet name="Full Time Bi-Weekly" sheetId="6" r:id="rId4"/>
    <sheet name="Full Time Monthly" sheetId="7" r:id="rId5"/>
    <sheet name="Full Time Annual Salary" sheetId="8" r:id="rId6"/>
    <sheet name="Self Employed Sch C" sheetId="10" r:id="rId7"/>
    <sheet name="Partnership 1065" sheetId="13" r:id="rId8"/>
    <sheet name="S Corp 1120S" sheetId="32" r:id="rId9"/>
    <sheet name="S Corp 1120S1" sheetId="30" state="hidden" r:id="rId10"/>
    <sheet name="Corporation 1120" sheetId="31" r:id="rId11"/>
    <sheet name="Alimony" sheetId="16" r:id="rId12"/>
    <sheet name="Boarder Income" sheetId="18" r:id="rId13"/>
    <sheet name="Capital Gains" sheetId="19" r:id="rId14"/>
    <sheet name="Vehicle Allowance" sheetId="20" r:id="rId15"/>
    <sheet name="Child Support" sheetId="17" r:id="rId16"/>
    <sheet name="Dividends &amp; Interest" sheetId="21" r:id="rId17"/>
    <sheet name="Foster Care " sheetId="22" r:id="rId18"/>
    <sheet name="IRA Distributions" sheetId="23" r:id="rId19"/>
    <sheet name="Notes Receivable" sheetId="24" r:id="rId20"/>
    <sheet name="Pension" sheetId="25" r:id="rId21"/>
    <sheet name="REO Rental" sheetId="26" r:id="rId22"/>
    <sheet name="Royalty" sheetId="27" r:id="rId23"/>
    <sheet name="Social Security" sheetId="28" r:id="rId24"/>
    <sheet name="Trust " sheetId="29" r:id="rId25"/>
    <sheet name="Income Calculator" sheetId="33" r:id="rId26"/>
    <sheet name="Summary" sheetId="34" r:id="rId27"/>
    <sheet name="Lists (2)" sheetId="35" state="hidden" r:id="rId28"/>
    <sheet name="Lists" sheetId="11" state="hidden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31" l="1"/>
  <c r="V2" i="31" s="1"/>
  <c r="O2" i="32"/>
  <c r="D10" i="32" s="1"/>
  <c r="O2" i="13"/>
  <c r="O2" i="10"/>
  <c r="S2" i="10" s="1"/>
  <c r="R2" i="31" l="1"/>
  <c r="R2" i="32"/>
  <c r="R2" i="13"/>
  <c r="U8" i="13" s="1"/>
  <c r="R2" i="10"/>
  <c r="D11" i="31"/>
  <c r="D11" i="32"/>
  <c r="D10" i="31"/>
  <c r="U4" i="31"/>
  <c r="U6" i="31"/>
  <c r="U5" i="31"/>
  <c r="T2" i="31"/>
  <c r="U8" i="31"/>
  <c r="S2" i="31"/>
  <c r="U9" i="31" s="1"/>
  <c r="D11" i="13"/>
  <c r="U4" i="32"/>
  <c r="U5" i="32"/>
  <c r="U6" i="32"/>
  <c r="U8" i="32"/>
  <c r="S2" i="32"/>
  <c r="U9" i="32" s="1"/>
  <c r="T2" i="32"/>
  <c r="V2" i="32"/>
  <c r="D10" i="13"/>
  <c r="E10" i="10"/>
  <c r="E9" i="10"/>
  <c r="U4" i="13"/>
  <c r="U5" i="13"/>
  <c r="U6" i="13"/>
  <c r="V2" i="13"/>
  <c r="V2" i="10"/>
  <c r="T2" i="13"/>
  <c r="T2" i="10"/>
  <c r="S2" i="13"/>
  <c r="U2" i="13" s="1"/>
  <c r="U2" i="31" l="1"/>
  <c r="B12" i="31" s="1"/>
  <c r="U2" i="32"/>
  <c r="B12" i="32" s="1"/>
  <c r="U9" i="13"/>
  <c r="H12" i="13" s="1"/>
  <c r="H12" i="31" l="1"/>
  <c r="H12" i="32"/>
  <c r="E12" i="31"/>
  <c r="E12" i="32"/>
  <c r="B12" i="13"/>
  <c r="E12" i="13"/>
  <c r="B9" i="26"/>
  <c r="F22" i="26"/>
  <c r="G13" i="29"/>
  <c r="G12" i="28"/>
  <c r="G13" i="25"/>
  <c r="H14" i="24"/>
  <c r="F13" i="22"/>
  <c r="F14" i="20"/>
  <c r="F15" i="18"/>
  <c r="E13" i="16"/>
  <c r="G13" i="23"/>
  <c r="E12" i="17"/>
  <c r="U28" i="34"/>
  <c r="M28" i="34"/>
  <c r="N10" i="34"/>
  <c r="N6" i="34"/>
  <c r="N5" i="34"/>
  <c r="J5" i="34"/>
  <c r="D5" i="34"/>
  <c r="U5" i="10" l="1"/>
  <c r="U6" i="10"/>
  <c r="U4" i="10"/>
  <c r="U9" i="10"/>
  <c r="P2" i="10"/>
  <c r="D6" i="34"/>
  <c r="D10" i="34"/>
  <c r="O176" i="33"/>
  <c r="M176" i="33"/>
  <c r="O175" i="33"/>
  <c r="C171" i="33"/>
  <c r="C156" i="33"/>
  <c r="M146" i="33"/>
  <c r="C141" i="33"/>
  <c r="C126" i="33"/>
  <c r="Q60" i="33"/>
  <c r="Q59" i="33"/>
  <c r="AG57" i="33"/>
  <c r="AG53" i="33"/>
  <c r="AE53" i="33"/>
  <c r="AE51" i="33"/>
  <c r="AG49" i="33"/>
  <c r="AG51" i="33" s="1"/>
  <c r="AE49" i="33"/>
  <c r="V47" i="33"/>
  <c r="AD39" i="33"/>
  <c r="AD44" i="33" s="1"/>
  <c r="AF38" i="33"/>
  <c r="AD38" i="33"/>
  <c r="AD43" i="33" s="1"/>
  <c r="AD37" i="33"/>
  <c r="AF42" i="33" s="1"/>
  <c r="AF36" i="33"/>
  <c r="AD36" i="33"/>
  <c r="AD41" i="33" s="1"/>
  <c r="AH35" i="33"/>
  <c r="AD35" i="33"/>
  <c r="V35" i="33"/>
  <c r="V36" i="33" s="1"/>
  <c r="X28" i="33"/>
  <c r="X27" i="33"/>
  <c r="X26" i="33"/>
  <c r="M26" i="33"/>
  <c r="M27" i="33" s="1"/>
  <c r="M25" i="33"/>
  <c r="P24" i="33"/>
  <c r="M24" i="33"/>
  <c r="H20" i="33"/>
  <c r="X13" i="33"/>
  <c r="C6" i="33"/>
  <c r="L6" i="33" s="1"/>
  <c r="R6" i="10"/>
  <c r="R8" i="10" s="1"/>
  <c r="P6" i="10"/>
  <c r="P8" i="10" s="1"/>
  <c r="O15" i="10"/>
  <c r="H19" i="10" s="1"/>
  <c r="L12" i="27"/>
  <c r="N9" i="27"/>
  <c r="L9" i="27"/>
  <c r="Q31" i="32"/>
  <c r="P31" i="32"/>
  <c r="Q29" i="32"/>
  <c r="P29" i="32"/>
  <c r="Q26" i="32"/>
  <c r="P26" i="32"/>
  <c r="Q23" i="32"/>
  <c r="Q20" i="32"/>
  <c r="P20" i="32"/>
  <c r="Q17" i="32"/>
  <c r="Q14" i="32"/>
  <c r="P14" i="32"/>
  <c r="G27" i="32" s="1"/>
  <c r="Q4" i="32"/>
  <c r="P4" i="32"/>
  <c r="M9" i="19"/>
  <c r="M12" i="19"/>
  <c r="Q20" i="13"/>
  <c r="P31" i="13"/>
  <c r="P4" i="13"/>
  <c r="Q4" i="13"/>
  <c r="Q29" i="13"/>
  <c r="P29" i="13"/>
  <c r="U8" i="10" l="1"/>
  <c r="U2" i="10"/>
  <c r="AG59" i="33"/>
  <c r="F15" i="19"/>
  <c r="AG55" i="33"/>
  <c r="AF44" i="33"/>
  <c r="O4" i="34"/>
  <c r="B9" i="34" s="1"/>
  <c r="O3" i="34"/>
  <c r="B8" i="34" s="1"/>
  <c r="U24" i="34"/>
  <c r="H9" i="34"/>
  <c r="U23" i="34"/>
  <c r="U22" i="34"/>
  <c r="H10" i="34"/>
  <c r="AD42" i="33"/>
  <c r="V37" i="33"/>
  <c r="M28" i="33"/>
  <c r="M29" i="33" s="1"/>
  <c r="X30" i="33"/>
  <c r="X31" i="33" s="1"/>
  <c r="AF41" i="33"/>
  <c r="AF43" i="33"/>
  <c r="P133" i="33"/>
  <c r="B129" i="33" s="1"/>
  <c r="L80" i="33"/>
  <c r="B80" i="33" s="1"/>
  <c r="L74" i="33"/>
  <c r="B74" i="33" s="1"/>
  <c r="L68" i="33"/>
  <c r="B68" i="33" s="1"/>
  <c r="P162" i="33"/>
  <c r="B159" i="33" s="1"/>
  <c r="P159" i="33"/>
  <c r="B161" i="33" s="1"/>
  <c r="P147" i="33"/>
  <c r="B144" i="33" s="1"/>
  <c r="P144" i="33"/>
  <c r="B146" i="33" s="1"/>
  <c r="P129" i="33"/>
  <c r="B131" i="33" s="1"/>
  <c r="O37" i="33"/>
  <c r="B38" i="33" s="1"/>
  <c r="O36" i="33"/>
  <c r="B37" i="33" s="1"/>
  <c r="L78" i="33"/>
  <c r="B78" i="33" s="1"/>
  <c r="L72" i="33"/>
  <c r="B72" i="33" s="1"/>
  <c r="L67" i="33"/>
  <c r="B67" i="33" s="1"/>
  <c r="L71" i="33"/>
  <c r="B71" i="33" s="1"/>
  <c r="L66" i="33"/>
  <c r="B66" i="33" s="1"/>
  <c r="P161" i="33"/>
  <c r="B158" i="33" s="1"/>
  <c r="L69" i="33"/>
  <c r="B69" i="33" s="1"/>
  <c r="P177" i="33"/>
  <c r="B174" i="33" s="1"/>
  <c r="P174" i="33"/>
  <c r="B176" i="33" s="1"/>
  <c r="P132" i="33"/>
  <c r="B128" i="33" s="1"/>
  <c r="P53" i="33"/>
  <c r="B54" i="33" s="1"/>
  <c r="L77" i="33"/>
  <c r="B77" i="33" s="1"/>
  <c r="P158" i="33"/>
  <c r="B160" i="33" s="1"/>
  <c r="P146" i="33"/>
  <c r="B143" i="33" s="1"/>
  <c r="P128" i="33"/>
  <c r="B130" i="33" s="1"/>
  <c r="L75" i="33"/>
  <c r="B75" i="33" s="1"/>
  <c r="P143" i="33"/>
  <c r="B145" i="33" s="1"/>
  <c r="L81" i="33"/>
  <c r="B81" i="33" s="1"/>
  <c r="P176" i="33"/>
  <c r="B173" i="33" s="1"/>
  <c r="N24" i="33"/>
  <c r="U13" i="33" s="1"/>
  <c r="AF40" i="33"/>
  <c r="AD40" i="33"/>
  <c r="P173" i="33"/>
  <c r="B175" i="33" s="1"/>
  <c r="N13" i="33"/>
  <c r="O143" i="33" s="1"/>
  <c r="L13" i="33"/>
  <c r="M13" i="33"/>
  <c r="Q64" i="33" s="1"/>
  <c r="O52" i="33"/>
  <c r="AJ42" i="33"/>
  <c r="O49" i="33"/>
  <c r="N12" i="34" s="1"/>
  <c r="O41" i="33"/>
  <c r="AH46" i="33"/>
  <c r="M38" i="33"/>
  <c r="AJ41" i="33"/>
  <c r="AH41" i="33"/>
  <c r="S146" i="33" s="1"/>
  <c r="AJ40" i="33"/>
  <c r="S133" i="33" s="1"/>
  <c r="AJ43" i="33"/>
  <c r="V48" i="33"/>
  <c r="AJ44" i="33"/>
  <c r="P52" i="33"/>
  <c r="B53" i="33" s="1"/>
  <c r="G14" i="27"/>
  <c r="R31" i="32"/>
  <c r="P8" i="32"/>
  <c r="G26" i="32" s="1"/>
  <c r="R29" i="32"/>
  <c r="P8" i="13"/>
  <c r="G26" i="13" s="1"/>
  <c r="P20" i="31"/>
  <c r="P18" i="31"/>
  <c r="G27" i="31"/>
  <c r="P15" i="31"/>
  <c r="Q15" i="30"/>
  <c r="Q30" i="30"/>
  <c r="P30" i="30"/>
  <c r="Q28" i="30"/>
  <c r="P28" i="30"/>
  <c r="Q25" i="30"/>
  <c r="P25" i="30"/>
  <c r="Q22" i="30"/>
  <c r="Q19" i="30"/>
  <c r="P19" i="30"/>
  <c r="Q13" i="30"/>
  <c r="P13" i="30"/>
  <c r="Q23" i="13"/>
  <c r="Q31" i="13"/>
  <c r="Q26" i="13"/>
  <c r="Q17" i="13"/>
  <c r="M11" i="26"/>
  <c r="M9" i="26"/>
  <c r="K9" i="21"/>
  <c r="K13" i="21"/>
  <c r="M9" i="21"/>
  <c r="P26" i="13"/>
  <c r="P20" i="13"/>
  <c r="Q14" i="13"/>
  <c r="P14" i="13"/>
  <c r="E13" i="8"/>
  <c r="E13" i="9"/>
  <c r="E13" i="7"/>
  <c r="E13" i="6"/>
  <c r="E13" i="3"/>
  <c r="B11" i="10" l="1"/>
  <c r="J11" i="10"/>
  <c r="F11" i="10"/>
  <c r="M141" i="33"/>
  <c r="M148" i="33" s="1"/>
  <c r="M36" i="33"/>
  <c r="N36" i="33" s="1"/>
  <c r="O46" i="33" s="1"/>
  <c r="AF39" i="33"/>
  <c r="Y39" i="33"/>
  <c r="V41" i="33" s="1"/>
  <c r="O47" i="33"/>
  <c r="V38" i="33"/>
  <c r="M62" i="33"/>
  <c r="AF37" i="33"/>
  <c r="AF35" i="33"/>
  <c r="O39" i="33"/>
  <c r="AH36" i="33"/>
  <c r="O53" i="33"/>
  <c r="O54" i="33" s="1"/>
  <c r="M52" i="33"/>
  <c r="X29" i="33"/>
  <c r="X32" i="33" s="1"/>
  <c r="Y38" i="33" s="1"/>
  <c r="O48" i="33"/>
  <c r="M30" i="34"/>
  <c r="M32" i="34"/>
  <c r="M34" i="34"/>
  <c r="Y36" i="33"/>
  <c r="Q48" i="33"/>
  <c r="M57" i="33"/>
  <c r="Y47" i="33"/>
  <c r="AC53" i="33"/>
  <c r="AJ59" i="33" s="1"/>
  <c r="O162" i="33"/>
  <c r="V175" i="33"/>
  <c r="O177" i="33"/>
  <c r="O59" i="33"/>
  <c r="V129" i="33"/>
  <c r="M48" i="33"/>
  <c r="V174" i="33"/>
  <c r="M178" i="33" s="1"/>
  <c r="V144" i="33"/>
  <c r="M156" i="33"/>
  <c r="M171" i="33"/>
  <c r="M177" i="33" s="1"/>
  <c r="V130" i="33"/>
  <c r="O60" i="33"/>
  <c r="O158" i="33"/>
  <c r="V143" i="33"/>
  <c r="V145" i="33"/>
  <c r="O147" i="33"/>
  <c r="V159" i="33"/>
  <c r="M163" i="33" s="1"/>
  <c r="V160" i="33"/>
  <c r="M49" i="33"/>
  <c r="M54" i="33"/>
  <c r="O146" i="33"/>
  <c r="S63" i="33"/>
  <c r="O128" i="33"/>
  <c r="Y46" i="33"/>
  <c r="M58" i="33"/>
  <c r="M126" i="33"/>
  <c r="O145" i="33"/>
  <c r="O173" i="33"/>
  <c r="O174" i="33" s="1"/>
  <c r="G27" i="13"/>
  <c r="G25" i="30"/>
  <c r="G26" i="30"/>
  <c r="P22" i="31"/>
  <c r="G26" i="31" s="1"/>
  <c r="R30" i="30"/>
  <c r="R28" i="30"/>
  <c r="R31" i="13"/>
  <c r="R29" i="13"/>
  <c r="G14" i="21"/>
  <c r="P12" i="10"/>
  <c r="H20" i="10" s="1"/>
  <c r="N7" i="34" l="1"/>
  <c r="J8" i="34" s="1"/>
  <c r="Y44" i="33"/>
  <c r="V46" i="33"/>
  <c r="O58" i="33"/>
  <c r="AH42" i="33"/>
  <c r="S161" i="33" s="1"/>
  <c r="AH44" i="33"/>
  <c r="AH40" i="33"/>
  <c r="S132" i="33" s="1"/>
  <c r="AH43" i="33"/>
  <c r="S176" i="33" s="1"/>
  <c r="O40" i="33"/>
  <c r="O38" i="33" s="1"/>
  <c r="O44" i="33" s="1"/>
  <c r="Y35" i="33"/>
  <c r="V40" i="33" s="1"/>
  <c r="AH45" i="33"/>
  <c r="AD46" i="33" s="1"/>
  <c r="AC51" i="33"/>
  <c r="AI57" i="33" s="1"/>
  <c r="C175" i="33" s="1"/>
  <c r="M173" i="33" s="1"/>
  <c r="M53" i="33"/>
  <c r="O55" i="33" s="1"/>
  <c r="Q63" i="33"/>
  <c r="Q66" i="33" s="1"/>
  <c r="M37" i="33"/>
  <c r="N8" i="34"/>
  <c r="J9" i="34" s="1"/>
  <c r="O132" i="33"/>
  <c r="M59" i="33"/>
  <c r="Q61" i="33"/>
  <c r="O57" i="33"/>
  <c r="N9" i="34"/>
  <c r="J10" i="34" s="1"/>
  <c r="V128" i="33"/>
  <c r="M133" i="33" s="1"/>
  <c r="V173" i="33"/>
  <c r="V158" i="33"/>
  <c r="Q47" i="33"/>
  <c r="N13" i="34"/>
  <c r="AJ53" i="33"/>
  <c r="C146" i="33" s="1"/>
  <c r="M144" i="33" s="1"/>
  <c r="O141" i="33" s="1"/>
  <c r="O144" i="33" s="1"/>
  <c r="AJ55" i="33"/>
  <c r="C161" i="33" s="1"/>
  <c r="M159" i="33" s="1"/>
  <c r="AJ57" i="33"/>
  <c r="C176" i="33" s="1"/>
  <c r="M174" i="33" s="1"/>
  <c r="O171" i="33" s="1"/>
  <c r="AJ51" i="33"/>
  <c r="C131" i="33" s="1"/>
  <c r="M149" i="33"/>
  <c r="V44" i="33" l="1"/>
  <c r="V39" i="33" s="1"/>
  <c r="O45" i="33"/>
  <c r="M44" i="33" s="1"/>
  <c r="M39" i="33"/>
  <c r="M60" i="33"/>
  <c r="M55" i="33"/>
  <c r="C56" i="33" s="1"/>
  <c r="AC49" i="33"/>
  <c r="U26" i="34" s="1"/>
  <c r="AI59" i="33"/>
  <c r="AI51" i="33"/>
  <c r="C130" i="33" s="1"/>
  <c r="O131" i="33" s="1"/>
  <c r="AI55" i="33"/>
  <c r="C160" i="33" s="1"/>
  <c r="O160" i="33" s="1"/>
  <c r="AI53" i="33"/>
  <c r="C145" i="33" s="1"/>
  <c r="M143" i="33" s="1"/>
  <c r="M145" i="33" s="1"/>
  <c r="M147" i="33" s="1"/>
  <c r="P21" i="34"/>
  <c r="U25" i="34" s="1"/>
  <c r="B58" i="33"/>
  <c r="M175" i="33"/>
  <c r="M129" i="33"/>
  <c r="C44" i="33" l="1"/>
  <c r="M36" i="34" s="1"/>
  <c r="D12" i="34" s="1"/>
  <c r="S157" i="33"/>
  <c r="U31" i="34" s="1"/>
  <c r="S127" i="33"/>
  <c r="B134" i="33" s="1"/>
  <c r="C147" i="33"/>
  <c r="N18" i="34" s="1"/>
  <c r="C177" i="33"/>
  <c r="N20" i="34" s="1"/>
  <c r="O156" i="33"/>
  <c r="O159" i="33" s="1"/>
  <c r="O161" i="33"/>
  <c r="M158" i="33"/>
  <c r="M160" i="33" s="1"/>
  <c r="B46" i="33"/>
  <c r="U27" i="34" s="1"/>
  <c r="S142" i="33"/>
  <c r="B149" i="33" s="1"/>
  <c r="S172" i="33"/>
  <c r="U32" i="34" s="1"/>
  <c r="M128" i="33"/>
  <c r="M132" i="33" s="1"/>
  <c r="O130" i="33"/>
  <c r="O126" i="33"/>
  <c r="O129" i="33" s="1"/>
  <c r="D9" i="34"/>
  <c r="D7" i="34"/>
  <c r="D8" i="34"/>
  <c r="U29" i="34" l="1"/>
  <c r="B164" i="33"/>
  <c r="M162" i="33"/>
  <c r="M161" i="33"/>
  <c r="M130" i="33"/>
  <c r="M131" i="33" s="1"/>
  <c r="C132" i="33" s="1"/>
  <c r="N17" i="34" s="1"/>
  <c r="U30" i="34"/>
  <c r="B179" i="33"/>
  <c r="C162" i="33" l="1"/>
  <c r="N19" i="34" s="1"/>
  <c r="D16" i="34" s="1"/>
  <c r="D15" i="34"/>
  <c r="D17" i="34"/>
  <c r="D14" i="34" l="1"/>
  <c r="D19" i="34" s="1"/>
</calcChain>
</file>

<file path=xl/sharedStrings.xml><?xml version="1.0" encoding="utf-8"?>
<sst xmlns="http://schemas.openxmlformats.org/spreadsheetml/2006/main" count="966" uniqueCount="570">
  <si>
    <t>Borrower Name:</t>
  </si>
  <si>
    <t>Employer:</t>
  </si>
  <si>
    <t>Hourly Rate:</t>
  </si>
  <si>
    <t>Full Time Hourly</t>
  </si>
  <si>
    <t>Full Time Semi-Monthly Borrowers</t>
  </si>
  <si>
    <t>For borrowers that are paid a consistent rate twice a month.</t>
  </si>
  <si>
    <t>Semi-Monthly Rate:</t>
  </si>
  <si>
    <t>Monthly Income:</t>
  </si>
  <si>
    <t>Full Time Semi-Monthly</t>
  </si>
  <si>
    <t>Full Time Bi-Weekly Borrowers</t>
  </si>
  <si>
    <t>For borrowers that are paid a consistent rate every other week.</t>
  </si>
  <si>
    <t>Full Time Bi-Weekly</t>
  </si>
  <si>
    <t>Full Time Monthly Borrowers</t>
  </si>
  <si>
    <t>For borrowers that are paid a consistent rate once per month.</t>
  </si>
  <si>
    <t>Bi-Weekly Rate:</t>
  </si>
  <si>
    <t>Monthly Rate:</t>
  </si>
  <si>
    <t>Annual Rate:</t>
  </si>
  <si>
    <t>For borrowers that work a full 40 hours and are paid an hourly rate.</t>
  </si>
  <si>
    <t>Full Time Monthly</t>
  </si>
  <si>
    <t>Full Time Annual Salary</t>
  </si>
  <si>
    <t>Full Time Annual Salary Borrowers</t>
  </si>
  <si>
    <t>Self-Employed Schedule C Borrower</t>
  </si>
  <si>
    <t>For borrowers that claim self-employment income on Schedule C.</t>
  </si>
  <si>
    <t>One</t>
  </si>
  <si>
    <t>Two</t>
  </si>
  <si>
    <t>Depreciation:</t>
  </si>
  <si>
    <t>Most Recent Year Calc</t>
  </si>
  <si>
    <t>Two Year Calc</t>
  </si>
  <si>
    <t>One Year of Returns</t>
  </si>
  <si>
    <t>Select Option</t>
  </si>
  <si>
    <t>Self Employment Sch C</t>
  </si>
  <si>
    <t>Self-Employed Partnership 1065 Borrower</t>
  </si>
  <si>
    <t>For borrowers that claim self-employment income on Form 1065.</t>
  </si>
  <si>
    <t>Is the borrower qualifying with one or two years of returns?</t>
  </si>
  <si>
    <t>W2 Income:</t>
  </si>
  <si>
    <t>Percentage of Ownership:</t>
  </si>
  <si>
    <t>K-1 Income:</t>
  </si>
  <si>
    <t>Distributions:</t>
  </si>
  <si>
    <t>Other Ordinary Income:</t>
  </si>
  <si>
    <t>Nonrecurring Other Income:</t>
  </si>
  <si>
    <t>Depletion:</t>
  </si>
  <si>
    <t>Mortgages, Notes, Bonds &lt; 1 Year:</t>
  </si>
  <si>
    <t>Travel and Entertainment:</t>
  </si>
  <si>
    <t>Amortization:</t>
  </si>
  <si>
    <t>For borrowers that claim self-employment income on Form 1020S.</t>
  </si>
  <si>
    <t>Is the borrower able to prove liquidity?</t>
  </si>
  <si>
    <t>Yes</t>
  </si>
  <si>
    <t>No</t>
  </si>
  <si>
    <t>Guaranteed Payments*:</t>
  </si>
  <si>
    <t>One Year Calc w/ Liquidity</t>
  </si>
  <si>
    <t xml:space="preserve">One Year Calc w/o Liquidity Greater K1 </t>
  </si>
  <si>
    <t>One Year Calc w/o Liquidity Greater Dis.</t>
  </si>
  <si>
    <t>Two Year Calc w/ Liquidity</t>
  </si>
  <si>
    <t>Two Year Calc w/o Liquidity Greater Dis.</t>
  </si>
  <si>
    <t>Two Year Calc w/o Liquidity Greater K1</t>
  </si>
  <si>
    <t>Two Year Returns Older Year w/ Liquidity</t>
  </si>
  <si>
    <t>Two Year Returns Most Recent Year w/ Liquidity</t>
  </si>
  <si>
    <t>Self-Employed Corporation 1120 Borrower</t>
  </si>
  <si>
    <t>Alimony Income</t>
  </si>
  <si>
    <t>Has 6 months current receipt been documented?</t>
  </si>
  <si>
    <t>Monthly Amount Received:</t>
  </si>
  <si>
    <t>Partnership 1065</t>
  </si>
  <si>
    <t>S Corp 1120S</t>
  </si>
  <si>
    <t>Corporation 1120</t>
  </si>
  <si>
    <t>Alimony</t>
  </si>
  <si>
    <t>Child Support Income</t>
  </si>
  <si>
    <t xml:space="preserve">Child Support </t>
  </si>
  <si>
    <t>Boarder Income</t>
  </si>
  <si>
    <t>Does the income exceed 30% of the total income?</t>
  </si>
  <si>
    <t>Has documentation confirming a shared residency been provided?</t>
  </si>
  <si>
    <t>Has the most recent 12 months of payments been documented?</t>
  </si>
  <si>
    <t>Boarder income is ineligible to be used based on investor guidelines.</t>
  </si>
  <si>
    <t>Capital Gains Income</t>
  </si>
  <si>
    <t>Borrower must show the abilitiy to sell items to potentially make future mortgage payments.</t>
  </si>
  <si>
    <t>Capital Gains total from 2 years ago:</t>
  </si>
  <si>
    <t>Capital Gains from most recent year:</t>
  </si>
  <si>
    <t>Has the borrower received payments for 12 months?</t>
  </si>
  <si>
    <t>Vehicle Allowance</t>
  </si>
  <si>
    <t>Vehicle allowance is unable to be utlized with the given circumstances.</t>
  </si>
  <si>
    <t>Has the vehicle expense been added into the borrower's DTI?</t>
  </si>
  <si>
    <t>Monthly Allowance:</t>
  </si>
  <si>
    <t>Dividends &amp; Interest Income</t>
  </si>
  <si>
    <t>Does the borrower have a 2 year history?</t>
  </si>
  <si>
    <t>A 2 year history is required to utilize this income type.</t>
  </si>
  <si>
    <t xml:space="preserve">Any assets being used for down payment or closing costs must be subtracted from the borrower's total assets prior to calculating future income. </t>
  </si>
  <si>
    <t>Dividends/Interest earned from 2 years prior:</t>
  </si>
  <si>
    <t>Dividends/Interest earned from prior year:</t>
  </si>
  <si>
    <t>2 Year Calc</t>
  </si>
  <si>
    <t>Total Allowable Income:</t>
  </si>
  <si>
    <t>Calc from 2 years ago</t>
  </si>
  <si>
    <t>Calc from previous year</t>
  </si>
  <si>
    <t>Dividends and Interest</t>
  </si>
  <si>
    <t>Capital Gains</t>
  </si>
  <si>
    <t>Conventional Income Table of Contents</t>
  </si>
  <si>
    <t>Foster Care Income</t>
  </si>
  <si>
    <t>Does the borrower have a 2 year history of receving income?</t>
  </si>
  <si>
    <t>Has the borrower received income for the previous 12 months?</t>
  </si>
  <si>
    <t>Does the income represent more than 30% of the total income?</t>
  </si>
  <si>
    <t xml:space="preserve">Foster care income is not eligible with the given loan parameters. </t>
  </si>
  <si>
    <t>Monthly Award Letter Amount:</t>
  </si>
  <si>
    <t>Foster Care</t>
  </si>
  <si>
    <t>IRA Distribution Income</t>
  </si>
  <si>
    <t>Is the borrower able to document the amount and frequency of payments?</t>
  </si>
  <si>
    <t>IRA distribution income is unable to be utilized with the given loan parameters.</t>
  </si>
  <si>
    <t>Monthly Distribution Amount:</t>
  </si>
  <si>
    <t>IRA Distributions</t>
  </si>
  <si>
    <t>Notes Receivable</t>
  </si>
  <si>
    <t>Is the borrower able to provide a copy of the note?</t>
  </si>
  <si>
    <t>Has the borrower received payments for the past 12 months?</t>
  </si>
  <si>
    <t xml:space="preserve">Notes receivable income is ineligible for use with the given loan parameters. </t>
  </si>
  <si>
    <t>Pension Income</t>
  </si>
  <si>
    <t>Notes Receivable Income</t>
  </si>
  <si>
    <t>Is the borrower able to document receipt of the income?</t>
  </si>
  <si>
    <t>Monthly Award Amount:</t>
  </si>
  <si>
    <t>Pension income is not eligible to be used with the given parameters.</t>
  </si>
  <si>
    <t>Pension</t>
  </si>
  <si>
    <t>Does the most recent year of 1040 returns show rental income?</t>
  </si>
  <si>
    <t>Total Rents Received:</t>
  </si>
  <si>
    <t>Insurance:</t>
  </si>
  <si>
    <t>Mortgage Interest Paid:</t>
  </si>
  <si>
    <t>Taxes:</t>
  </si>
  <si>
    <t>Depreciation/Depletion:</t>
  </si>
  <si>
    <t>HOA Dues:</t>
  </si>
  <si>
    <t>Total Expenses:</t>
  </si>
  <si>
    <t>One Time Extraordinary Expense:</t>
  </si>
  <si>
    <t>Monthly Net Rental Income:</t>
  </si>
  <si>
    <t>Monthly Taxes</t>
  </si>
  <si>
    <t>Monthly Insurance</t>
  </si>
  <si>
    <t>Royalty Income</t>
  </si>
  <si>
    <t>Does the borrower have a 2 year history of earning royalty payments?</t>
  </si>
  <si>
    <t>Does the borrower have at least a 1 year history of earning royalty payments?</t>
  </si>
  <si>
    <t xml:space="preserve">Royalty income is unable to be utilized with the given loan parameters. </t>
  </si>
  <si>
    <t>Royalty income from previous year:</t>
  </si>
  <si>
    <t>Monthly Royalty Income:</t>
  </si>
  <si>
    <t>Royalty income from 2 years prior:</t>
  </si>
  <si>
    <t>Royalties</t>
  </si>
  <si>
    <t>Social Security Income</t>
  </si>
  <si>
    <t>Is the borrower collecting benefits from their own work record?</t>
  </si>
  <si>
    <t>Does the borrower have the award letter or current receipt?</t>
  </si>
  <si>
    <t>Social security income cannot be utilized with the given loan parameters.</t>
  </si>
  <si>
    <t>Monthly Benefit Received:</t>
  </si>
  <si>
    <t xml:space="preserve">Award letter, proof of current receipt, and a 3 year continuance are requried. </t>
  </si>
  <si>
    <t>Social Security</t>
  </si>
  <si>
    <t>Trust Income</t>
  </si>
  <si>
    <t>Is the borrower able to provide the trust agreement or a trustee statement?</t>
  </si>
  <si>
    <t>Trust income is ineligible to be used with the given loan parameters.</t>
  </si>
  <si>
    <t>Trust</t>
  </si>
  <si>
    <t>Proof of three-year continuance is required when the borrower only has a 1 year history.</t>
  </si>
  <si>
    <t>Two Year Returns Older Year w/o Liquidity Greater Dis</t>
  </si>
  <si>
    <t>Two Year Returns Older Year w/o Liquidity Greater K1</t>
  </si>
  <si>
    <t>Two Year Returns Most Recent Year w/o Liquidity Greater Dis</t>
  </si>
  <si>
    <t>Two Year Returns Most Recent Year w/o Liquidity Greater K1</t>
  </si>
  <si>
    <t>Two Year Calc. Old Year Greater Dis, New Year Greater K1</t>
  </si>
  <si>
    <t>Two Year Calc. Old Year Greater K1, New Year Greater Dis</t>
  </si>
  <si>
    <t>Self-Employed S Corp 1120S Borrower</t>
  </si>
  <si>
    <t>For borrowers that claim self-employment income on Form 1120.</t>
  </si>
  <si>
    <t>One Year Calculation</t>
  </si>
  <si>
    <t>Two Year Calculation</t>
  </si>
  <si>
    <t xml:space="preserve"> Income is not eligible with the given loan parameters.</t>
  </si>
  <si>
    <t>Returns from 2 Years Ago</t>
  </si>
  <si>
    <t>Returns from Most Recent Year</t>
  </si>
  <si>
    <t>2 Year Ago Calc</t>
  </si>
  <si>
    <t>2 Year Old Calculation</t>
  </si>
  <si>
    <t>Most Recent Calc</t>
  </si>
  <si>
    <t xml:space="preserve">All encompassing one year prior: </t>
  </si>
  <si>
    <t xml:space="preserve">All encompassing two year prior: </t>
  </si>
  <si>
    <t xml:space="preserve">Estimated Qualifying income: </t>
  </si>
  <si>
    <t>Full Time Hourly Borrowers</t>
  </si>
  <si>
    <t>For borrowers with an annual salary listed on the paycheck.</t>
  </si>
  <si>
    <t>1 Year Calc</t>
  </si>
  <si>
    <t>For borrowers that claim self-employment income on Form 1120S.</t>
  </si>
  <si>
    <t>Will the income continue for at least 3 years?</t>
  </si>
  <si>
    <t xml:space="preserve">Income is not eligible with the given loan parameters. </t>
  </si>
  <si>
    <t>Borrwer must be at least 25% owner for SE income.</t>
  </si>
  <si>
    <t>Borrower must be at least 25% owner for SE income.</t>
  </si>
  <si>
    <t>Borrower must be at least 25% onwer for SE income.</t>
  </si>
  <si>
    <t>Qualifying Income</t>
  </si>
  <si>
    <t xml:space="preserve">Royalty agreement/contract is required for all DU loans AND for LPA loans with a 1 year history of receiving the income. </t>
  </si>
  <si>
    <t>Net Profit (31):</t>
  </si>
  <si>
    <t>Non-Recurring Income (6):</t>
  </si>
  <si>
    <t>Depletion/Depreciation (12&amp;13):</t>
  </si>
  <si>
    <t>Meals/Entertainment (24b):</t>
  </si>
  <si>
    <t>Business Use of Home (30):</t>
  </si>
  <si>
    <t xml:space="preserve">If the borrower claims amortization, it should be added to the depletion/depreciation line above. </t>
  </si>
  <si>
    <t>W2 Income (Box 5):</t>
  </si>
  <si>
    <t>Percentage of Ownership (K1 J):</t>
  </si>
  <si>
    <t>K-1 Income (1-3):</t>
  </si>
  <si>
    <t>Distributions (K1 Box 19):</t>
  </si>
  <si>
    <t>Guaranteed Payments*(K1 Box 4):</t>
  </si>
  <si>
    <t>Other Ordinary Income (Line 4):</t>
  </si>
  <si>
    <t>Nonrecurring Other Income (Line 7):</t>
  </si>
  <si>
    <t>Depreciation (Line 16c):</t>
  </si>
  <si>
    <t>Depletion (Line 17):</t>
  </si>
  <si>
    <t>Mortgages, Notes, Bonds &lt; 1 Year (L Line 16):</t>
  </si>
  <si>
    <t>Travel and Entertainment (M1 Line 4b):</t>
  </si>
  <si>
    <t>Guaranteed Payments* (K1 Box 4):</t>
  </si>
  <si>
    <t>Depletion (Line17):</t>
  </si>
  <si>
    <t>Distributions (K1 Box 16d):</t>
  </si>
  <si>
    <t>Nonrecurring Other Income (Line 5):</t>
  </si>
  <si>
    <t>Depletion (Line 15):</t>
  </si>
  <si>
    <t>Depreciation (Line 14):</t>
  </si>
  <si>
    <t>Mortgages, Notes, Bonds &lt; 1 Year (L Line 17):</t>
  </si>
  <si>
    <t>Travel and Entertainment (M1 Line 3b):</t>
  </si>
  <si>
    <t>Nonrecurring Gains (Lines 8 &amp; 9):</t>
  </si>
  <si>
    <t>Nonrecurring Other Income (Line 10):</t>
  </si>
  <si>
    <t>Depreciation (Line 20):</t>
  </si>
  <si>
    <t>Depletion (Line 21):</t>
  </si>
  <si>
    <t>Net Operating Loss (Line 29a):</t>
  </si>
  <si>
    <t>Taxable Income (Line 30):</t>
  </si>
  <si>
    <t>Total Tax (Line 31):</t>
  </si>
  <si>
    <t>Travel and Entertainment (M1 Line 5c):</t>
  </si>
  <si>
    <t>Vehicle Miles (Actual Miles):</t>
  </si>
  <si>
    <t>1 Year Vehicle Miles</t>
  </si>
  <si>
    <t>Will the income continue for at least 3 years based on the trust asset account?</t>
  </si>
  <si>
    <t>2 Year Miles</t>
  </si>
  <si>
    <t>1 Year Miles</t>
  </si>
  <si>
    <t>*DU loans require a 2 year history to add in guaranteed payments from the partnership. LP loans allow for guaranteed payments to be utilized without a two-year history.</t>
  </si>
  <si>
    <t xml:space="preserve">PROPRIETARY AND CONFIDENTIAL TO UWM - FOR USE BY UWM APPROVED PARTIES ONLY. NMLS #3038	</t>
  </si>
  <si>
    <t>OWNER: UND</t>
  </si>
  <si>
    <t xml:space="preserve">Variable Income Calculator </t>
  </si>
  <si>
    <t xml:space="preserve">Borrower name: </t>
  </si>
  <si>
    <t xml:space="preserve">Employer name: </t>
  </si>
  <si>
    <t># of months on the job</t>
  </si>
  <si>
    <t xml:space="preserve">Today's date: </t>
  </si>
  <si>
    <t xml:space="preserve">Start date at current employer: </t>
  </si>
  <si>
    <t xml:space="preserve">Has the borrower had more than 2 jobs in the past 24 months? </t>
  </si>
  <si>
    <t>Select One:</t>
  </si>
  <si>
    <t xml:space="preserve">AUS Type: </t>
  </si>
  <si>
    <t>Using to calculate the number needed to divide starting year income by for less than 24 months</t>
  </si>
  <si>
    <t xml:space="preserve">What documentation are we using to qualify? </t>
  </si>
  <si>
    <t>Month</t>
  </si>
  <si>
    <t>Total Days</t>
  </si>
  <si>
    <t xml:space="preserve">Total Days </t>
  </si>
  <si>
    <t xml:space="preserve">Do we have 2 years of W-2's from current employer on file? </t>
  </si>
  <si>
    <t>Is start date within 1 year of current year</t>
  </si>
  <si>
    <t>Is start date within 2 year of current year</t>
  </si>
  <si>
    <t xml:space="preserve">Is start in current year </t>
  </si>
  <si>
    <t>How much time was spent in previous cal. Year at current emp</t>
  </si>
  <si>
    <t>is base income variable or full time hourly/salary?</t>
  </si>
  <si>
    <t xml:space="preserve">Are there any additional variable pay types (e.g. OT, bonus, etc.)? </t>
  </si>
  <si>
    <t xml:space="preserve">Do we need to qualify with the additional variable income types? </t>
  </si>
  <si>
    <t xml:space="preserve">Are we using Overtime? </t>
  </si>
  <si>
    <t xml:space="preserve">How many variable income types are we using? </t>
  </si>
  <si>
    <t xml:space="preserve">Are we using Bonus? </t>
  </si>
  <si>
    <t xml:space="preserve">Are we using Commission? </t>
  </si>
  <si>
    <t xml:space="preserve">Are we using Tip Income? </t>
  </si>
  <si>
    <t xml:space="preserve">Paystub PSM: </t>
  </si>
  <si>
    <t xml:space="preserve">Leap year? </t>
  </si>
  <si>
    <t xml:space="preserve">Pay Period End Date: </t>
  </si>
  <si>
    <t>YTD Year</t>
  </si>
  <si>
    <t>YTD Day</t>
  </si>
  <si>
    <t>If less than 12 mos need to calculate time at employer</t>
  </si>
  <si>
    <t>YTD Month</t>
  </si>
  <si>
    <t xml:space="preserve">Start Year </t>
  </si>
  <si>
    <t xml:space="preserve">What is the frequency of the borrowers pay? </t>
  </si>
  <si>
    <t># of previous months</t>
  </si>
  <si>
    <t>Start Month</t>
  </si>
  <si>
    <t xml:space="preserve">What is the borrowers rate of pay? </t>
  </si>
  <si>
    <t>current month PSM</t>
  </si>
  <si>
    <t>Start Day</t>
  </si>
  <si>
    <t>How many hours a week? (i.e 40 or less for some professions like nurses)</t>
  </si>
  <si>
    <t xml:space="preserve">PSM: </t>
  </si>
  <si>
    <t xml:space="preserve"># of months worked in starting year </t>
  </si>
  <si>
    <t xml:space="preserve">Time in starting month worked </t>
  </si>
  <si>
    <t xml:space="preserve"># of days working in starting month / total days in the month </t>
  </si>
  <si>
    <t xml:space="preserve">Calculation Column: </t>
  </si>
  <si>
    <t>Total time at job in starting year</t>
  </si>
  <si>
    <t xml:space="preserve">Paystub/W-2 Calculator </t>
  </si>
  <si>
    <t xml:space="preserve">&lt;--- using this to trigger worksheet change event when UW forget to add positive factors after filling out whole worksheet and need to go back into the form </t>
  </si>
  <si>
    <t xml:space="preserve">Paystub/w-2 -  additional income types present </t>
  </si>
  <si>
    <t>Paystub/w-2 -  additional income types present and we are using them</t>
  </si>
  <si>
    <t xml:space="preserve">Paystub, no additional  income types present or being used </t>
  </si>
  <si>
    <t xml:space="preserve">Projected annual </t>
  </si>
  <si>
    <t xml:space="preserve">Years of w-2's needed </t>
  </si>
  <si>
    <t>Portion of total income that is base</t>
  </si>
  <si>
    <t xml:space="preserve">2021 w-2 Monthly Amount </t>
  </si>
  <si>
    <t xml:space="preserve">% of YTD that is OT </t>
  </si>
  <si>
    <t xml:space="preserve">YTD OT Annualized </t>
  </si>
  <si>
    <t>YTD Total Income</t>
  </si>
  <si>
    <t>Year to date base income from paystub</t>
  </si>
  <si>
    <t>YTD monthly (both w/old emp and not)</t>
  </si>
  <si>
    <t xml:space="preserve">2021 w-2 amount based on base % </t>
  </si>
  <si>
    <t xml:space="preserve">2020 w-2 Monthly Amount </t>
  </si>
  <si>
    <t>% of YTD that is Bonus</t>
  </si>
  <si>
    <t xml:space="preserve">YTD Bonus Annualized </t>
  </si>
  <si>
    <t xml:space="preserve">YTD Total Annualized </t>
  </si>
  <si>
    <t>2021 Monthly</t>
  </si>
  <si>
    <t xml:space="preserve">2020 w-2 amount based on base % </t>
  </si>
  <si>
    <t>% of YTD that is Commission</t>
  </si>
  <si>
    <t>YTD Commission Annualized</t>
  </si>
  <si>
    <t>2020 Monthly</t>
  </si>
  <si>
    <t>Middle Number Rule Threshold</t>
  </si>
  <si>
    <t xml:space="preserve">YTD Monthly Amount </t>
  </si>
  <si>
    <t>% of YTD that is Tip</t>
  </si>
  <si>
    <t xml:space="preserve">YTD Tip Annualized  </t>
  </si>
  <si>
    <t xml:space="preserve">If haven't been at job for 24 months need to annualize or trend based on monthly amounts </t>
  </si>
  <si>
    <t xml:space="preserve">YTD totals of variable pay types not being used </t>
  </si>
  <si>
    <t>Fluctuationg check</t>
  </si>
  <si>
    <t>Annualized YTD</t>
  </si>
  <si>
    <t xml:space="preserve">Qualifying income amount: </t>
  </si>
  <si>
    <t>Annualized YTD total</t>
  </si>
  <si>
    <t xml:space="preserve">% of YTD that is income not being used </t>
  </si>
  <si>
    <t xml:space="preserve">YTD income not being used annualized </t>
  </si>
  <si>
    <t>Year to date OT from Paystub</t>
  </si>
  <si>
    <t>Annualized 2021 (if &lt; 24)</t>
  </si>
  <si>
    <t xml:space="preserve">Portion of 2021 that is OT </t>
  </si>
  <si>
    <t>Portion of 2020 that is OT</t>
  </si>
  <si>
    <t xml:space="preserve">2021 OT annualized </t>
  </si>
  <si>
    <t xml:space="preserve">2020 OT Annualized </t>
  </si>
  <si>
    <t>Year to date Bonus from Paystub</t>
  </si>
  <si>
    <t xml:space="preserve">Annualized 2020 (if &lt; 24) </t>
  </si>
  <si>
    <t xml:space="preserve">50% check </t>
  </si>
  <si>
    <t>Portion of 2021 that is Bonus</t>
  </si>
  <si>
    <t>Portion of 2020 that is Bonus</t>
  </si>
  <si>
    <t>2021 Bonus annualized</t>
  </si>
  <si>
    <t xml:space="preserve">2020 Bonus annualized </t>
  </si>
  <si>
    <t>Year to date Commission from Paystub</t>
  </si>
  <si>
    <t>Portion of 2021 that is Commission</t>
  </si>
  <si>
    <t>Portion of 2020 that is Commission</t>
  </si>
  <si>
    <t>2021 Commission annualized</t>
  </si>
  <si>
    <t xml:space="preserve">2020 Commission annualized </t>
  </si>
  <si>
    <t>Year to date Tip income from Paystub</t>
  </si>
  <si>
    <t>Portion of 2021 that is Tip</t>
  </si>
  <si>
    <t>Portion of 2020 that is Tip</t>
  </si>
  <si>
    <t>2021 Tip annualized</t>
  </si>
  <si>
    <t xml:space="preserve">2020 Tip annualized </t>
  </si>
  <si>
    <t xml:space="preserve">Qualifying Income(Base only): </t>
  </si>
  <si>
    <t xml:space="preserve">Qualifying income </t>
  </si>
  <si>
    <t>Does YTD meet Middle Number rule</t>
  </si>
  <si>
    <t xml:space="preserve">Trend: </t>
  </si>
  <si>
    <t>Portion of 2021 that is income not being used</t>
  </si>
  <si>
    <t xml:space="preserve">Portion os 2020 that is income not being used: </t>
  </si>
  <si>
    <t xml:space="preserve">2021 income not being used annualized </t>
  </si>
  <si>
    <t xml:space="preserve">2020 income not being used annualized </t>
  </si>
  <si>
    <t>Is documentation on file indicating why income has fluctuated greater than 10%?</t>
  </si>
  <si>
    <t xml:space="preserve">Trend </t>
  </si>
  <si>
    <t xml:space="preserve">Total 2021 Annualized </t>
  </si>
  <si>
    <t xml:space="preserve">50% red flag </t>
  </si>
  <si>
    <t>This needs to include all income from 2020 &amp; 2021 and compare to YTD</t>
  </si>
  <si>
    <t>Stability check</t>
  </si>
  <si>
    <t xml:space="preserve">YTD + past year </t>
  </si>
  <si>
    <t xml:space="preserve">Trend with all income types together </t>
  </si>
  <si>
    <t xml:space="preserve">Total 2020 Annualized </t>
  </si>
  <si>
    <t xml:space="preserve">YTD + 1 year </t>
  </si>
  <si>
    <t xml:space="preserve">Less than 12 trend: </t>
  </si>
  <si>
    <t xml:space="preserve">All 2021 income </t>
  </si>
  <si>
    <t xml:space="preserve">YTD + 2 years </t>
  </si>
  <si>
    <t xml:space="preserve">If multiple variable types, what percent of the additional income types of each </t>
  </si>
  <si>
    <t xml:space="preserve">Current Employer 2021 Monthly </t>
  </si>
  <si>
    <t xml:space="preserve">YTD New Emp only </t>
  </si>
  <si>
    <t xml:space="preserve">All 2020 income </t>
  </si>
  <si>
    <t xml:space="preserve">If salary, can we back in? </t>
  </si>
  <si>
    <t xml:space="preserve">current year salary based on rate in C27 &amp; C28 </t>
  </si>
  <si>
    <t>Total additional income</t>
  </si>
  <si>
    <t>Total amounts of other income based on %</t>
  </si>
  <si>
    <t xml:space="preserve">WVOE/VOI Calculator </t>
  </si>
  <si>
    <t>Previous employer 2021 Monthly</t>
  </si>
  <si>
    <t xml:space="preserve">Combined Monthly (for less than 12) </t>
  </si>
  <si>
    <t>WVOE</t>
  </si>
  <si>
    <t xml:space="preserve">Annual salary - prior year </t>
  </si>
  <si>
    <t>Prior year W-2</t>
  </si>
  <si>
    <t>OT %</t>
  </si>
  <si>
    <t xml:space="preserve">Prior year OT </t>
  </si>
  <si>
    <t xml:space="preserve">2 years prior OT </t>
  </si>
  <si>
    <t>Previous Years needed</t>
  </si>
  <si>
    <t xml:space="preserve">Year to date Base Income </t>
  </si>
  <si>
    <t>YTD monthly amt (both w/old emp and not)</t>
  </si>
  <si>
    <t xml:space="preserve">Middle Number Rule Threshold: </t>
  </si>
  <si>
    <t xml:space="preserve">Trend calcs: </t>
  </si>
  <si>
    <t xml:space="preserve">Annual salary - 2 years prior </t>
  </si>
  <si>
    <t xml:space="preserve">2 years prior W-2 </t>
  </si>
  <si>
    <t>Bonus %</t>
  </si>
  <si>
    <t>Prior year Bonus</t>
  </si>
  <si>
    <t xml:space="preserve">2 years prior Bonus </t>
  </si>
  <si>
    <t xml:space="preserve">2021 w-2 monthly amt </t>
  </si>
  <si>
    <t xml:space="preserve">Annualized YTD: </t>
  </si>
  <si>
    <t>2020 w-2 monthly amt</t>
  </si>
  <si>
    <t xml:space="preserve">Does YTD meet the MNRT? </t>
  </si>
  <si>
    <t>Increasing = YTD + Prior year / 12 + PSM</t>
  </si>
  <si>
    <t>Commission %</t>
  </si>
  <si>
    <t xml:space="preserve">Prior year Commission </t>
  </si>
  <si>
    <t xml:space="preserve">2 years prior Commission </t>
  </si>
  <si>
    <t xml:space="preserve">Qualifying income: </t>
  </si>
  <si>
    <t>Trend</t>
  </si>
  <si>
    <t>Decreasing = YTD/PSM</t>
  </si>
  <si>
    <t xml:space="preserve">Qualifying Income (Base only): </t>
  </si>
  <si>
    <t>Tip %</t>
  </si>
  <si>
    <t xml:space="preserve">Prior year Tip </t>
  </si>
  <si>
    <t xml:space="preserve">2 years prior Tip </t>
  </si>
  <si>
    <t xml:space="preserve">past year + YTD </t>
  </si>
  <si>
    <t xml:space="preserve">50% increase check </t>
  </si>
  <si>
    <t>Decreasing but stable = YTD + Prior 2 years / 24 + PSM</t>
  </si>
  <si>
    <t xml:space="preserve">2 years + YTD </t>
  </si>
  <si>
    <t xml:space="preserve">Combined Monthly (for less than  12) </t>
  </si>
  <si>
    <t xml:space="preserve">Income present but not being used </t>
  </si>
  <si>
    <t xml:space="preserve">Prior year </t>
  </si>
  <si>
    <t xml:space="preserve">2 years prior </t>
  </si>
  <si>
    <t xml:space="preserve">Less than 12 trend </t>
  </si>
  <si>
    <t>Previous Employer 2021 Monthly</t>
  </si>
  <si>
    <t>Prior year total w/previous emp</t>
  </si>
  <si>
    <t xml:space="preserve">Current Employer 2021 amount </t>
  </si>
  <si>
    <t>2 years prior total w/previous emp</t>
  </si>
  <si>
    <t xml:space="preserve">  </t>
  </si>
  <si>
    <t>Stabity check</t>
  </si>
  <si>
    <t>Past Employer Info</t>
  </si>
  <si>
    <t>Prior year total (just current emp)</t>
  </si>
  <si>
    <t>YTD annual monthly</t>
  </si>
  <si>
    <t xml:space="preserve">2 years prior total (Just current emp) </t>
  </si>
  <si>
    <t xml:space="preserve">YTD Past Employer Base Income </t>
  </si>
  <si>
    <t xml:space="preserve">Total trend </t>
  </si>
  <si>
    <t>YTD Past Employer Overtime Income</t>
  </si>
  <si>
    <t>YTD Past Employer Bonus Income</t>
  </si>
  <si>
    <t>YTD Past Employer Commission Income</t>
  </si>
  <si>
    <t xml:space="preserve">YTD Past Employer Tip Income </t>
  </si>
  <si>
    <t xml:space="preserve">Additional Questions: </t>
  </si>
  <si>
    <t xml:space="preserve">Has Bonus Been received yet for this year? </t>
  </si>
  <si>
    <t xml:space="preserve">Additional Income types </t>
  </si>
  <si>
    <t xml:space="preserve">Overtime Calculator </t>
  </si>
  <si>
    <t>YTD  amount of OT (Monthly)</t>
  </si>
  <si>
    <t>Year to date OT from WVOE</t>
  </si>
  <si>
    <t xml:space="preserve">Dates for paystub and WVOE below </t>
  </si>
  <si>
    <t xml:space="preserve">50% red flag (to the right S114) </t>
  </si>
  <si>
    <t xml:space="preserve">Less than 12: </t>
  </si>
  <si>
    <t>2021 Amount of OT (Monthly)</t>
  </si>
  <si>
    <t xml:space="preserve">Combined Monthly: </t>
  </si>
  <si>
    <t>2020 Amount of OT (Monthly)</t>
  </si>
  <si>
    <t xml:space="preserve">Previous Eemployer 2021 monthly </t>
  </si>
  <si>
    <t xml:space="preserve">Current employer 2021 amount </t>
  </si>
  <si>
    <t xml:space="preserve">Qualifying Income (OT only): </t>
  </si>
  <si>
    <t>YTD Current emp only</t>
  </si>
  <si>
    <t xml:space="preserve">Annualized OT 2021 </t>
  </si>
  <si>
    <t>Less than 12 Trend</t>
  </si>
  <si>
    <t>Annualized OT 2020</t>
  </si>
  <si>
    <t xml:space="preserve">Bonus Calculator </t>
  </si>
  <si>
    <t>YTD  amount of Bonus (Monthly)</t>
  </si>
  <si>
    <t>Year to date Bonus from WVOE</t>
  </si>
  <si>
    <t xml:space="preserve">50% red flag (to the right) </t>
  </si>
  <si>
    <t>2021 Amount of Bonus (Monthly)</t>
  </si>
  <si>
    <t>2020 Amount of Bonus (Monthly)</t>
  </si>
  <si>
    <t xml:space="preserve">Qualifying income Average: </t>
  </si>
  <si>
    <t>Annualized Bonus 2021</t>
  </si>
  <si>
    <t xml:space="preserve">Qualifying Income (Bonus only): </t>
  </si>
  <si>
    <t xml:space="preserve">Qualifying income Annual: </t>
  </si>
  <si>
    <t xml:space="preserve">Is Documentation on file to show why income is fluctuating? </t>
  </si>
  <si>
    <t>Count for Annual Bonus</t>
  </si>
  <si>
    <t xml:space="preserve">Commission Calculator </t>
  </si>
  <si>
    <t>YTD  amount of Commission (Monthly)</t>
  </si>
  <si>
    <t>Year to date Commission from WVOE</t>
  </si>
  <si>
    <t>2021 Amount of Commission (Monthly)</t>
  </si>
  <si>
    <t>2020 Amount of Commission (Monthly)</t>
  </si>
  <si>
    <t>Annualized Commission 2021</t>
  </si>
  <si>
    <t xml:space="preserve">Qualifying Income (Commission only): </t>
  </si>
  <si>
    <t>YTD current only</t>
  </si>
  <si>
    <t xml:space="preserve">Tip calculator </t>
  </si>
  <si>
    <t>YTD  amount of Tip (Monthly)</t>
  </si>
  <si>
    <t>Year to date Tip income from WVOE</t>
  </si>
  <si>
    <t>50% red flag (to the right)</t>
  </si>
  <si>
    <t>2021 Amount of Tip (Monthly)</t>
  </si>
  <si>
    <t>2020 Amount of Tip (Monthly)</t>
  </si>
  <si>
    <t>YTD + 2 years</t>
  </si>
  <si>
    <t>Annualized Tip 2021</t>
  </si>
  <si>
    <t xml:space="preserve">Qualifying Income (Tip income only): </t>
  </si>
  <si>
    <t xml:space="preserve">Variable Income Summary </t>
  </si>
  <si>
    <t xml:space="preserve">Years for summary below: </t>
  </si>
  <si>
    <t xml:space="preserve"># of positive factors below </t>
  </si>
  <si>
    <t xml:space="preserve">Borrower Name: </t>
  </si>
  <si>
    <t xml:space="preserve">Employer Name: </t>
  </si>
  <si>
    <t xml:space="preserve">PS or WVOE </t>
  </si>
  <si>
    <t xml:space="preserve">Is base salary or variable? </t>
  </si>
  <si>
    <t xml:space="preserve">Base YTD Total: </t>
  </si>
  <si>
    <t>Base Income Trending (Monthly)</t>
  </si>
  <si>
    <t xml:space="preserve">YTD </t>
  </si>
  <si>
    <t>Positive Factors --&gt;</t>
  </si>
  <si>
    <t>0000000000</t>
  </si>
  <si>
    <t>YTD</t>
  </si>
  <si>
    <t>Prev + YTD</t>
  </si>
  <si>
    <t>2 year + YTD</t>
  </si>
  <si>
    <t>Additional Income Not being used:</t>
  </si>
  <si>
    <t xml:space="preserve">Add income not being used: </t>
  </si>
  <si>
    <t xml:space="preserve">O13 is where the comments will populate. THIS IS WRITTEN IN VBA, ANYTHING INPUT IN THESE CELLS WILL BE OVERWRITTEN </t>
  </si>
  <si>
    <t xml:space="preserve">Qualifying Base Income: </t>
  </si>
  <si>
    <t xml:space="preserve">Positive Factors: </t>
  </si>
  <si>
    <t>Less than 12: Combined (current emp)</t>
  </si>
  <si>
    <t xml:space="preserve">The Trend is Increasing. The calculation used is: </t>
  </si>
  <si>
    <t>Less than 12: Old employer 2021</t>
  </si>
  <si>
    <t xml:space="preserve">The Trend is Decreasing. The calculation used is: </t>
  </si>
  <si>
    <t>Qualifying Overtime Income</t>
  </si>
  <si>
    <t xml:space="preserve">The Trend is Decreasing but has stabilized. The calculation used is: </t>
  </si>
  <si>
    <t>Qualifying Bonus Income</t>
  </si>
  <si>
    <t>Additional income types are present but we are not using them to qualify. Backed out additional income types from previous years to qualify based on</t>
  </si>
  <si>
    <t xml:space="preserve">Qualifying Commission Income </t>
  </si>
  <si>
    <t>Additional income type totals</t>
  </si>
  <si>
    <t>being base:</t>
  </si>
  <si>
    <t xml:space="preserve">Qualifying Tip Income </t>
  </si>
  <si>
    <t>OT</t>
  </si>
  <si>
    <t>Bonus</t>
  </si>
  <si>
    <t xml:space="preserve">Total Qualifying Income: </t>
  </si>
  <si>
    <t>Commission</t>
  </si>
  <si>
    <t>Tip</t>
  </si>
  <si>
    <t>O13 - Base, O14 - OT, O15 - Bonus, O16 - Commission, O17 - Tip, O18 - 50% rule - add not being used O19</t>
  </si>
  <si>
    <t>Stability check - if 12-24 mos and using additional income. Is the income stable? If no, need to have comments or something generate to mention that we need an LOX to explain decline</t>
  </si>
  <si>
    <t xml:space="preserve">Document Requirements: </t>
  </si>
  <si>
    <t xml:space="preserve">Doc requirements </t>
  </si>
  <si>
    <t xml:space="preserve">24 + </t>
  </si>
  <si>
    <t>Override box below</t>
  </si>
  <si>
    <t>Are docs on file for decrease?  - maybe</t>
  </si>
  <si>
    <t>12-24 months</t>
  </si>
  <si>
    <t xml:space="preserve">less than 12 </t>
  </si>
  <si>
    <t xml:space="preserve">Stability </t>
  </si>
  <si>
    <t xml:space="preserve">Backing into W-2 </t>
  </si>
  <si>
    <t xml:space="preserve">Paystub Date: </t>
  </si>
  <si>
    <t>50% check</t>
  </si>
  <si>
    <t>Annual Bonus</t>
  </si>
  <si>
    <t xml:space="preserve">Comments: </t>
  </si>
  <si>
    <t xml:space="preserve">YTD base: </t>
  </si>
  <si>
    <t xml:space="preserve">OT decline </t>
  </si>
  <si>
    <t xml:space="preserve">Bonus decline </t>
  </si>
  <si>
    <t>Prior year base/W-2</t>
  </si>
  <si>
    <t xml:space="preserve">Comm decline </t>
  </si>
  <si>
    <t xml:space="preserve">Tip decline </t>
  </si>
  <si>
    <t>2 years prior base/W-2</t>
  </si>
  <si>
    <t xml:space="preserve">Qualifying income (base): </t>
  </si>
  <si>
    <t xml:space="preserve">Select One: </t>
  </si>
  <si>
    <t>Paystub and W-2(s)</t>
  </si>
  <si>
    <t xml:space="preserve">DU </t>
  </si>
  <si>
    <t>Variable</t>
  </si>
  <si>
    <t>Yes, Average</t>
  </si>
  <si>
    <t>Hourly</t>
  </si>
  <si>
    <t>WVOE/VOI</t>
  </si>
  <si>
    <t xml:space="preserve">LPA </t>
  </si>
  <si>
    <t>Salary</t>
  </si>
  <si>
    <t>Yes, Annual</t>
  </si>
  <si>
    <t>Weekly</t>
  </si>
  <si>
    <t>No additional jobs in the past 24 months</t>
  </si>
  <si>
    <t>Income is Present, but we are not using</t>
  </si>
  <si>
    <t>Bi-Weekly</t>
  </si>
  <si>
    <t>Semi-Monthly</t>
  </si>
  <si>
    <t>Monthly</t>
  </si>
  <si>
    <t>Annual</t>
  </si>
  <si>
    <t>Income is subject to change. Low YTD earnings may cause income to be lower in underwriting.</t>
  </si>
  <si>
    <t>Variable Income</t>
  </si>
  <si>
    <t>Is there evidence to show the borrower will not receive the bonus this year?</t>
  </si>
  <si>
    <t>Has evidence been provided to show the borrower can sell additional property/assets in order to make future mortgage payments?</t>
  </si>
  <si>
    <t>Utilize line 7/Schedule D from the borrower's tax returns.</t>
  </si>
  <si>
    <t xml:space="preserve">Please refer to the investor guidelines to determine if rental income is able to be utilized. </t>
  </si>
  <si>
    <t>REO Rental Income</t>
  </si>
  <si>
    <t>Please refer to each investor for specific requirements regarding current receipt of the income.</t>
  </si>
  <si>
    <t>Income is subject to change. Additional documentation may be required for analysis.</t>
  </si>
  <si>
    <t xml:space="preserve">Income is subject to change. Additional documentation may be required for analysis. </t>
  </si>
  <si>
    <r>
      <t xml:space="preserve">Please select the desired income type to go to the appropriate income calculator. These calculators are designed to ONLY give a rough estimate of the borrower's income. Final income figure is subject to change in underwriting. Only fill out the </t>
    </r>
    <r>
      <rPr>
        <sz val="11"/>
        <color theme="1"/>
        <rFont val="Futura LT Pro Book"/>
        <family val="2"/>
      </rPr>
      <t>gray boxes for each calculator.</t>
    </r>
  </si>
  <si>
    <t>REO Rental</t>
  </si>
  <si>
    <t>Helpful Tips</t>
  </si>
  <si>
    <t>Use "Tab" or "Enter" to go to the next dropdown when using a calculator.
Make sure "Enable Content" is selected when first opening the calculator.
Microsoft Office 365 will be required; otherwise, some of the functionality will not work properly. 
The Summary Tab at the end will only populate information for the variable calculation.</t>
  </si>
  <si>
    <t xml:space="preserve">For a DU loan, business income can only be given if the borrower owns 100% of the business. For LPA loans, business income can be given if the borrower owns 25% or more of the business. </t>
  </si>
  <si>
    <t xml:space="preserve">Are the taxes and insurance for the property escrowed? </t>
  </si>
  <si>
    <t>Percentage of Ownership (K1 G):</t>
  </si>
  <si>
    <t>Tax Deadline</t>
  </si>
  <si>
    <t xml:space="preserve">Extension Date </t>
  </si>
  <si>
    <t xml:space="preserve">Past 1st Quarter? </t>
  </si>
  <si>
    <t>Is it after the 15th of april and before 10/15</t>
  </si>
  <si>
    <t>Past Oct 15th?</t>
  </si>
  <si>
    <t>One year ago</t>
  </si>
  <si>
    <t>two years ago</t>
  </si>
  <si>
    <t>three years ago</t>
  </si>
  <si>
    <t xml:space="preserve">Extension needed? </t>
  </si>
  <si>
    <t xml:space="preserve">Past year required regardless of extension? </t>
  </si>
  <si>
    <t>Returns from two years ago (</t>
  </si>
  <si>
    <t>Returns from one year ago (</t>
  </si>
  <si>
    <t xml:space="preserve">two years left </t>
  </si>
  <si>
    <t xml:space="preserve">one year right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</si>
</sst>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1">
    <font>
      <sz val="11"/>
      <color theme="1"/>
      <name val="Futura LT Pro Book"/>
      <family val="2"/>
    </font>
    <font>
      <sz val="11"/>
      <color theme="1"/>
      <name val="Calibri"/>
      <family val="2"/>
      <scheme val="minor"/>
    </font>
    <font>
      <b/>
      <sz val="28"/>
      <color theme="0"/>
      <name val="Futura LT Pro Book"/>
      <family val="2"/>
    </font>
    <font>
      <i/>
      <sz val="11"/>
      <color theme="1"/>
      <name val="Futura LT Pro Book"/>
      <family val="2"/>
    </font>
    <font>
      <b/>
      <sz val="11"/>
      <color theme="0"/>
      <name val="Futura LT Pro Book"/>
      <family val="2"/>
    </font>
    <font>
      <b/>
      <sz val="11"/>
      <color theme="1"/>
      <name val="Futura LT Pro Book"/>
      <family val="2"/>
    </font>
    <font>
      <sz val="14"/>
      <color theme="0"/>
      <name val="Futura LT Pro Book"/>
      <family val="2"/>
    </font>
    <font>
      <b/>
      <sz val="14"/>
      <color theme="0"/>
      <name val="Futura LT Pro Book"/>
      <family val="2"/>
    </font>
    <font>
      <u/>
      <sz val="11"/>
      <color theme="10"/>
      <name val="Futura LT Pro Book"/>
      <family val="2"/>
    </font>
    <font>
      <sz val="11"/>
      <color theme="0"/>
      <name val="Futura LT Pro Book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Futura LT Pro Medium"/>
      <family val="2"/>
    </font>
    <font>
      <sz val="11"/>
      <color theme="0"/>
      <name val="Futura LT Pro Medium"/>
      <family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color rgb="FF000000"/>
      <name val="Segoe UI"/>
      <family val="2"/>
    </font>
    <font>
      <sz val="11"/>
      <name val="Futura LT Pro Medium"/>
      <family val="2"/>
    </font>
    <font>
      <sz val="28"/>
      <color theme="0"/>
      <name val="Futura LT Pro Medium"/>
      <family val="2"/>
    </font>
    <font>
      <sz val="6"/>
      <color rgb="FFA6A6A6"/>
      <name val="Futura LT Pro Medium"/>
      <family val="2"/>
    </font>
    <font>
      <sz val="24"/>
      <color theme="0"/>
      <name val="Futura LT Pro Medium"/>
      <family val="2"/>
    </font>
    <font>
      <sz val="14"/>
      <color theme="0"/>
      <name val="Futura LT Pro Medium"/>
      <family val="2"/>
    </font>
    <font>
      <i/>
      <sz val="11"/>
      <color theme="0"/>
      <name val="Futura LT Pro Medium"/>
      <family val="2"/>
    </font>
    <font>
      <i/>
      <sz val="11"/>
      <color theme="1"/>
      <name val="Futura LT Pro Medium"/>
      <family val="2"/>
    </font>
    <font>
      <b/>
      <sz val="11"/>
      <color theme="1"/>
      <name val="Futura LT Pro Medium"/>
      <family val="2"/>
    </font>
    <font>
      <b/>
      <sz val="11"/>
      <color theme="0"/>
      <name val="Futura LT Pro Medium"/>
      <family val="2"/>
    </font>
    <font>
      <sz val="24"/>
      <color theme="0"/>
      <name val="Futura LT Pro Book"/>
      <family val="2"/>
    </font>
    <font>
      <sz val="12"/>
      <color theme="1"/>
      <name val="Futura LT Pro Medium"/>
      <family val="2"/>
    </font>
    <font>
      <sz val="11"/>
      <color rgb="FF000000"/>
      <name val="Futura LT Pro Book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F9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1CE57"/>
        <bgColor indexed="64"/>
      </patternFill>
    </fill>
    <fill>
      <patternFill patternType="solid">
        <fgColor rgb="FFE5E6E2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E5E6E2"/>
      </left>
      <right style="thin">
        <color rgb="FFE5E6E2"/>
      </right>
      <top style="thin">
        <color rgb="FFE5E6E2"/>
      </top>
      <bottom style="thin">
        <color rgb="FFE5E6E2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E5E6E2"/>
      </left>
      <right/>
      <top style="thin">
        <color rgb="FFE5E6E2"/>
      </top>
      <bottom style="thin">
        <color rgb="FFE5E6E2"/>
      </bottom>
      <diagonal/>
    </border>
    <border>
      <left style="thin">
        <color rgb="FFE5E6E2"/>
      </left>
      <right style="thin">
        <color rgb="FFE5E6E2"/>
      </right>
      <top style="thin">
        <color rgb="FFE5E6E2"/>
      </top>
      <bottom/>
      <diagonal/>
    </border>
    <border>
      <left style="thin">
        <color indexed="64"/>
      </left>
      <right style="thin">
        <color indexed="64"/>
      </right>
      <top style="thin">
        <color rgb="FFE5E6E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rgb="FFE5E6E2"/>
      </left>
      <right/>
      <top style="thin">
        <color rgb="FFE5E6E2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E5E6E2"/>
      </top>
      <bottom style="thin">
        <color rgb="FFE5E6E2"/>
      </bottom>
      <diagonal/>
    </border>
    <border>
      <left style="thin">
        <color rgb="FFE5E6E2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rgb="FFE5E6E2"/>
      </right>
      <top style="thin">
        <color theme="1"/>
      </top>
      <bottom/>
      <diagonal/>
    </border>
    <border>
      <left style="thin">
        <color rgb="FFE5E6E2"/>
      </left>
      <right/>
      <top/>
      <bottom/>
      <diagonal/>
    </border>
    <border>
      <left/>
      <right/>
      <top/>
      <bottom style="thin">
        <color rgb="FFE5E6E2"/>
      </bottom>
      <diagonal/>
    </border>
    <border>
      <left/>
      <right style="thin">
        <color rgb="FFE5E6E2"/>
      </right>
      <top/>
      <bottom/>
      <diagonal/>
    </border>
    <border>
      <left style="thin">
        <color rgb="FFE5E6E2"/>
      </left>
      <right style="thin">
        <color indexed="64"/>
      </right>
      <top style="thin">
        <color rgb="FFE5E6E2"/>
      </top>
      <bottom style="thin">
        <color rgb="FFE5E6E2"/>
      </bottom>
      <diagonal/>
    </border>
    <border>
      <left style="thin">
        <color indexed="64"/>
      </left>
      <right style="thin">
        <color rgb="FFE5E6E2"/>
      </right>
      <top style="thin">
        <color rgb="FFE5E6E2"/>
      </top>
      <bottom style="thin">
        <color rgb="FFE5E6E2"/>
      </bottom>
      <diagonal/>
    </border>
    <border>
      <left style="thin">
        <color rgb="FFE5E6E2"/>
      </left>
      <right/>
      <top/>
      <bottom style="thin">
        <color rgb="FFE5E6E2"/>
      </bottom>
      <diagonal/>
    </border>
    <border>
      <left/>
      <right style="thin">
        <color rgb="FFE5E6E2"/>
      </right>
      <top/>
      <bottom style="thin">
        <color rgb="FFE5E6E2"/>
      </bottom>
      <diagonal/>
    </border>
    <border>
      <left/>
      <right style="thin">
        <color rgb="FFE5E6E2"/>
      </right>
      <top style="thin">
        <color rgb="FFE5E6E2"/>
      </top>
      <bottom style="thin">
        <color rgb="FFE5E6E2"/>
      </bottom>
      <diagonal/>
    </border>
    <border>
      <left style="thin">
        <color rgb="FFE5E6E2"/>
      </left>
      <right style="thin">
        <color indexed="64"/>
      </right>
      <top style="thin">
        <color rgb="FFE5E6E2"/>
      </top>
      <bottom/>
      <diagonal/>
    </border>
    <border>
      <left style="thin">
        <color indexed="64"/>
      </left>
      <right/>
      <top style="thin">
        <color rgb="FFE5E6E2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rgb="FFE5E6E2"/>
      </top>
      <bottom style="thin">
        <color rgb="FFE5E6E2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5E6E2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5E6E2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E5E6E2"/>
      </top>
      <bottom style="thin">
        <color rgb="FFE5E6E2"/>
      </bottom>
      <diagonal/>
    </border>
    <border>
      <left style="thin">
        <color indexed="64"/>
      </left>
      <right style="thin">
        <color indexed="64"/>
      </right>
      <top/>
      <bottom style="thin">
        <color rgb="FFE5E6E2"/>
      </bottom>
      <diagonal/>
    </border>
    <border>
      <left style="thin">
        <color indexed="64"/>
      </left>
      <right style="thin">
        <color rgb="FFE5E6E2"/>
      </right>
      <top/>
      <bottom style="thin">
        <color rgb="FFE5E6E2"/>
      </bottom>
      <diagonal/>
    </border>
    <border>
      <left style="thin">
        <color rgb="FFE5E6E2"/>
      </left>
      <right style="thin">
        <color indexed="64"/>
      </right>
      <top/>
      <bottom style="thin">
        <color rgb="FFE5E6E2"/>
      </bottom>
      <diagonal/>
    </border>
    <border>
      <left style="thin">
        <color rgb="FFE5E6E2"/>
      </left>
      <right/>
      <top style="thin">
        <color rgb="FFFFFFFF"/>
      </top>
      <bottom/>
      <diagonal/>
    </border>
    <border>
      <left style="thin">
        <color rgb="FFE5E6E2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E5E6E2"/>
      </left>
      <right/>
      <top style="thin">
        <color rgb="FFE5E6E2"/>
      </top>
      <bottom style="thin">
        <color theme="0"/>
      </bottom>
      <diagonal/>
    </border>
    <border>
      <left/>
      <right style="thin">
        <color rgb="FFFFFFFF"/>
      </right>
      <top style="thin">
        <color rgb="FFE5E6E2"/>
      </top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3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/>
    </xf>
    <xf numFmtId="164" fontId="0" fillId="0" borderId="0" xfId="0" applyNumberFormat="1"/>
    <xf numFmtId="164" fontId="5" fillId="2" borderId="2" xfId="0" applyNumberFormat="1" applyFont="1" applyFill="1" applyBorder="1"/>
    <xf numFmtId="164" fontId="5" fillId="2" borderId="2" xfId="0" quotePrefix="1" applyNumberFormat="1" applyFont="1" applyFill="1" applyBorder="1"/>
    <xf numFmtId="164" fontId="5" fillId="2" borderId="2" xfId="0" applyNumberFormat="1" applyFont="1" applyFill="1" applyBorder="1" applyProtection="1">
      <protection locked="0"/>
    </xf>
    <xf numFmtId="10" fontId="5" fillId="2" borderId="2" xfId="0" applyNumberFormat="1" applyFont="1" applyFill="1" applyBorder="1" applyProtection="1">
      <protection locked="0"/>
    </xf>
    <xf numFmtId="164" fontId="0" fillId="2" borderId="0" xfId="0" applyNumberFormat="1" applyFill="1"/>
    <xf numFmtId="0" fontId="1" fillId="2" borderId="0" xfId="2" applyFill="1"/>
    <xf numFmtId="0" fontId="1" fillId="0" borderId="0" xfId="2"/>
    <xf numFmtId="0" fontId="10" fillId="0" borderId="0" xfId="2" applyFont="1"/>
    <xf numFmtId="0" fontId="12" fillId="0" borderId="0" xfId="2" applyFont="1"/>
    <xf numFmtId="0" fontId="1" fillId="0" borderId="8" xfId="2" applyBorder="1"/>
    <xf numFmtId="0" fontId="1" fillId="0" borderId="9" xfId="2" applyBorder="1"/>
    <xf numFmtId="0" fontId="1" fillId="2" borderId="0" xfId="2" applyFill="1" applyAlignment="1">
      <alignment wrapText="1"/>
    </xf>
    <xf numFmtId="0" fontId="1" fillId="0" borderId="0" xfId="2" applyAlignment="1">
      <alignment horizontal="center"/>
    </xf>
    <xf numFmtId="0" fontId="15" fillId="2" borderId="0" xfId="2" applyFont="1" applyFill="1"/>
    <xf numFmtId="14" fontId="15" fillId="2" borderId="0" xfId="2" applyNumberFormat="1" applyFont="1" applyFill="1"/>
    <xf numFmtId="164" fontId="1" fillId="0" borderId="0" xfId="2" applyNumberFormat="1"/>
    <xf numFmtId="0" fontId="14" fillId="2" borderId="0" xfId="2" applyFont="1" applyFill="1"/>
    <xf numFmtId="0" fontId="1" fillId="0" borderId="0" xfId="2" applyProtection="1">
      <protection locked="0"/>
    </xf>
    <xf numFmtId="0" fontId="1" fillId="0" borderId="0" xfId="2" applyAlignment="1">
      <alignment horizontal="right"/>
    </xf>
    <xf numFmtId="2" fontId="1" fillId="0" borderId="0" xfId="2" applyNumberFormat="1"/>
    <xf numFmtId="164" fontId="1" fillId="0" borderId="0" xfId="2" applyNumberFormat="1" applyAlignment="1">
      <alignment horizontal="right"/>
    </xf>
    <xf numFmtId="4" fontId="1" fillId="0" borderId="0" xfId="2" applyNumberFormat="1"/>
    <xf numFmtId="0" fontId="10" fillId="2" borderId="0" xfId="2" applyFont="1" applyFill="1"/>
    <xf numFmtId="10" fontId="1" fillId="0" borderId="0" xfId="2" applyNumberFormat="1" applyAlignment="1">
      <alignment horizontal="left"/>
    </xf>
    <xf numFmtId="0" fontId="1" fillId="0" borderId="0" xfId="2" applyAlignment="1">
      <alignment horizontal="left"/>
    </xf>
    <xf numFmtId="0" fontId="16" fillId="0" borderId="0" xfId="2" applyFont="1"/>
    <xf numFmtId="10" fontId="1" fillId="0" borderId="0" xfId="2" applyNumberFormat="1"/>
    <xf numFmtId="0" fontId="11" fillId="0" borderId="0" xfId="2" applyFont="1"/>
    <xf numFmtId="0" fontId="1" fillId="2" borderId="0" xfId="2" applyFill="1" applyAlignment="1">
      <alignment horizontal="right"/>
    </xf>
    <xf numFmtId="0" fontId="17" fillId="0" borderId="0" xfId="2" applyFont="1"/>
    <xf numFmtId="0" fontId="15" fillId="2" borderId="0" xfId="2" applyFont="1" applyFill="1" applyAlignment="1">
      <alignment vertical="center"/>
    </xf>
    <xf numFmtId="164" fontId="15" fillId="2" borderId="0" xfId="2" applyNumberFormat="1" applyFont="1" applyFill="1" applyProtection="1">
      <protection locked="0"/>
    </xf>
    <xf numFmtId="164" fontId="15" fillId="2" borderId="0" xfId="2" applyNumberFormat="1" applyFont="1" applyFill="1"/>
    <xf numFmtId="0" fontId="15" fillId="2" borderId="0" xfId="2" applyFont="1" applyFill="1" applyProtection="1">
      <protection locked="0"/>
    </xf>
    <xf numFmtId="49" fontId="1" fillId="0" borderId="0" xfId="2" applyNumberFormat="1" applyProtection="1">
      <protection locked="0"/>
    </xf>
    <xf numFmtId="164" fontId="16" fillId="0" borderId="0" xfId="2" applyNumberFormat="1" applyFont="1" applyAlignment="1">
      <alignment horizontal="right"/>
    </xf>
    <xf numFmtId="0" fontId="16" fillId="2" borderId="0" xfId="2" applyFont="1" applyFill="1" applyProtection="1">
      <protection locked="0"/>
    </xf>
    <xf numFmtId="0" fontId="1" fillId="0" borderId="0" xfId="2" applyAlignment="1" applyProtection="1">
      <alignment horizontal="left"/>
      <protection locked="0"/>
    </xf>
    <xf numFmtId="0" fontId="10" fillId="0" borderId="0" xfId="2" applyFont="1" applyAlignment="1">
      <alignment horizontal="left" wrapText="1"/>
    </xf>
    <xf numFmtId="16" fontId="1" fillId="0" borderId="0" xfId="2" applyNumberFormat="1"/>
    <xf numFmtId="164" fontId="1" fillId="0" borderId="0" xfId="2" applyNumberFormat="1" applyAlignment="1">
      <alignment horizontal="left"/>
    </xf>
    <xf numFmtId="14" fontId="1" fillId="0" borderId="0" xfId="2" applyNumberFormat="1" applyAlignment="1">
      <alignment horizontal="left"/>
    </xf>
    <xf numFmtId="14" fontId="1" fillId="0" borderId="0" xfId="2" applyNumberFormat="1"/>
    <xf numFmtId="0" fontId="1" fillId="2" borderId="14" xfId="2" applyFill="1" applyBorder="1"/>
    <xf numFmtId="0" fontId="21" fillId="2" borderId="0" xfId="0" applyFont="1" applyFill="1"/>
    <xf numFmtId="0" fontId="14" fillId="2" borderId="0" xfId="0" applyFont="1" applyFill="1"/>
    <xf numFmtId="0" fontId="25" fillId="2" borderId="0" xfId="0" applyFont="1" applyFill="1"/>
    <xf numFmtId="0" fontId="24" fillId="2" borderId="0" xfId="0" applyFont="1" applyFill="1"/>
    <xf numFmtId="0" fontId="14" fillId="0" borderId="0" xfId="0" applyFont="1"/>
    <xf numFmtId="164" fontId="15" fillId="2" borderId="0" xfId="0" applyNumberFormat="1" applyFont="1" applyFill="1" applyAlignment="1" applyProtection="1">
      <alignment horizontal="right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right" vertical="center"/>
    </xf>
    <xf numFmtId="164" fontId="14" fillId="2" borderId="0" xfId="0" applyNumberFormat="1" applyFont="1" applyFill="1" applyAlignment="1">
      <alignment horizontal="center"/>
    </xf>
    <xf numFmtId="164" fontId="0" fillId="2" borderId="0" xfId="0" applyNumberFormat="1" applyFill="1" applyAlignment="1" applyProtection="1">
      <alignment horizontal="right" vertical="center"/>
      <protection locked="0"/>
    </xf>
    <xf numFmtId="164" fontId="9" fillId="2" borderId="0" xfId="0" applyNumberFormat="1" applyFont="1" applyFill="1"/>
    <xf numFmtId="164" fontId="14" fillId="2" borderId="0" xfId="0" applyNumberFormat="1" applyFont="1" applyFill="1" applyAlignment="1" applyProtection="1">
      <alignment horizontal="right" vertical="center"/>
      <protection locked="0"/>
    </xf>
    <xf numFmtId="0" fontId="14" fillId="2" borderId="0" xfId="0" applyFont="1" applyFill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0" fontId="2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vertical="center"/>
    </xf>
    <xf numFmtId="164" fontId="14" fillId="2" borderId="0" xfId="0" applyNumberFormat="1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164" fontId="14" fillId="2" borderId="7" xfId="0" applyNumberFormat="1" applyFont="1" applyFill="1" applyBorder="1" applyAlignment="1">
      <alignment horizontal="right" vertical="center"/>
    </xf>
    <xf numFmtId="164" fontId="15" fillId="2" borderId="0" xfId="0" applyNumberFormat="1" applyFont="1" applyFill="1" applyAlignment="1">
      <alignment vertical="center"/>
    </xf>
    <xf numFmtId="164" fontId="14" fillId="2" borderId="2" xfId="0" applyNumberFormat="1" applyFont="1" applyFill="1" applyBorder="1" applyProtection="1">
      <protection locked="0"/>
    </xf>
    <xf numFmtId="10" fontId="14" fillId="2" borderId="2" xfId="0" applyNumberFormat="1" applyFont="1" applyFill="1" applyBorder="1" applyProtection="1">
      <protection locked="0"/>
    </xf>
    <xf numFmtId="164" fontId="14" fillId="2" borderId="2" xfId="0" applyNumberFormat="1" applyFont="1" applyFill="1" applyBorder="1"/>
    <xf numFmtId="164" fontId="14" fillId="2" borderId="2" xfId="0" quotePrefix="1" applyNumberFormat="1" applyFont="1" applyFill="1" applyBorder="1"/>
    <xf numFmtId="164" fontId="14" fillId="2" borderId="2" xfId="0" applyNumberFormat="1" applyFont="1" applyFill="1" applyBorder="1" applyAlignment="1" applyProtection="1">
      <alignment horizontal="right" vertical="center"/>
      <protection locked="0"/>
    </xf>
    <xf numFmtId="10" fontId="14" fillId="2" borderId="2" xfId="0" applyNumberFormat="1" applyFont="1" applyFill="1" applyBorder="1" applyAlignment="1" applyProtection="1">
      <alignment horizontal="right" vertical="center"/>
      <protection locked="0"/>
    </xf>
    <xf numFmtId="164" fontId="0" fillId="2" borderId="0" xfId="0" applyNumberFormat="1" applyFill="1" applyAlignment="1">
      <alignment vertical="center"/>
    </xf>
    <xf numFmtId="164" fontId="14" fillId="2" borderId="0" xfId="0" applyNumberFormat="1" applyFont="1" applyFill="1" applyProtection="1">
      <protection locked="0"/>
    </xf>
    <xf numFmtId="164" fontId="15" fillId="2" borderId="0" xfId="0" applyNumberFormat="1" applyFont="1" applyFill="1"/>
    <xf numFmtId="0" fontId="15" fillId="2" borderId="0" xfId="0" applyFont="1" applyFill="1" applyAlignment="1" applyProtection="1">
      <alignment horizontal="center" vertical="center"/>
      <protection locked="0"/>
    </xf>
    <xf numFmtId="0" fontId="14" fillId="6" borderId="19" xfId="2" applyFont="1" applyFill="1" applyBorder="1" applyAlignment="1" applyProtection="1">
      <alignment horizontal="center" vertical="center"/>
      <protection locked="0"/>
    </xf>
    <xf numFmtId="14" fontId="14" fillId="6" borderId="19" xfId="2" applyNumberFormat="1" applyFont="1" applyFill="1" applyBorder="1" applyAlignment="1">
      <alignment horizontal="center" vertical="center"/>
    </xf>
    <xf numFmtId="14" fontId="14" fillId="6" borderId="19" xfId="2" applyNumberFormat="1" applyFont="1" applyFill="1" applyBorder="1" applyAlignment="1" applyProtection="1">
      <alignment horizontal="center" vertical="center"/>
      <protection locked="0"/>
    </xf>
    <xf numFmtId="164" fontId="14" fillId="6" borderId="19" xfId="2" applyNumberFormat="1" applyFont="1" applyFill="1" applyBorder="1" applyAlignment="1" applyProtection="1">
      <alignment horizontal="center" vertical="center"/>
      <protection locked="0"/>
    </xf>
    <xf numFmtId="2" fontId="14" fillId="6" borderId="19" xfId="2" applyNumberFormat="1" applyFont="1" applyFill="1" applyBorder="1" applyAlignment="1" applyProtection="1">
      <alignment horizontal="center" vertical="center"/>
      <protection locked="0"/>
    </xf>
    <xf numFmtId="164" fontId="14" fillId="6" borderId="20" xfId="2" applyNumberFormat="1" applyFont="1" applyFill="1" applyBorder="1" applyAlignment="1" applyProtection="1">
      <alignment horizontal="center" vertical="center"/>
      <protection locked="0"/>
    </xf>
    <xf numFmtId="0" fontId="15" fillId="2" borderId="1" xfId="2" applyFont="1" applyFill="1" applyBorder="1"/>
    <xf numFmtId="0" fontId="14" fillId="2" borderId="16" xfId="2" applyFont="1" applyFill="1" applyBorder="1"/>
    <xf numFmtId="164" fontId="14" fillId="6" borderId="21" xfId="2" applyNumberFormat="1" applyFont="1" applyFill="1" applyBorder="1" applyAlignment="1" applyProtection="1">
      <alignment horizontal="center" vertical="center"/>
      <protection locked="0"/>
    </xf>
    <xf numFmtId="0" fontId="14" fillId="2" borderId="18" xfId="2" applyFont="1" applyFill="1" applyBorder="1" applyAlignment="1">
      <alignment horizontal="right" vertical="center"/>
    </xf>
    <xf numFmtId="0" fontId="14" fillId="2" borderId="23" xfId="2" applyFont="1" applyFill="1" applyBorder="1" applyAlignment="1">
      <alignment horizontal="right" vertical="center"/>
    </xf>
    <xf numFmtId="0" fontId="15" fillId="2" borderId="1" xfId="2" applyFont="1" applyFill="1" applyBorder="1" applyAlignment="1">
      <alignment horizontal="left"/>
    </xf>
    <xf numFmtId="0" fontId="15" fillId="5" borderId="16" xfId="2" applyFont="1" applyFill="1" applyBorder="1" applyAlignment="1">
      <alignment horizontal="left"/>
    </xf>
    <xf numFmtId="0" fontId="14" fillId="2" borderId="25" xfId="2" applyFont="1" applyFill="1" applyBorder="1"/>
    <xf numFmtId="0" fontId="14" fillId="2" borderId="27" xfId="2" applyFont="1" applyFill="1" applyBorder="1" applyAlignment="1">
      <alignment horizontal="right" vertical="center"/>
    </xf>
    <xf numFmtId="0" fontId="14" fillId="2" borderId="28" xfId="2" applyFont="1" applyFill="1" applyBorder="1"/>
    <xf numFmtId="164" fontId="14" fillId="2" borderId="18" xfId="2" applyNumberFormat="1" applyFont="1" applyFill="1" applyBorder="1" applyAlignment="1">
      <alignment horizontal="center" vertical="center"/>
    </xf>
    <xf numFmtId="164" fontId="14" fillId="2" borderId="24" xfId="2" applyNumberFormat="1" applyFont="1" applyFill="1" applyBorder="1" applyAlignment="1">
      <alignment horizontal="center" vertical="center"/>
    </xf>
    <xf numFmtId="164" fontId="15" fillId="5" borderId="22" xfId="2" applyNumberFormat="1" applyFont="1" applyFill="1" applyBorder="1" applyAlignment="1">
      <alignment horizontal="center" vertical="center"/>
    </xf>
    <xf numFmtId="0" fontId="15" fillId="5" borderId="26" xfId="2" applyFont="1" applyFill="1" applyBorder="1" applyAlignment="1">
      <alignment horizontal="center" vertical="center"/>
    </xf>
    <xf numFmtId="0" fontId="15" fillId="5" borderId="22" xfId="2" applyFont="1" applyFill="1" applyBorder="1" applyAlignment="1">
      <alignment horizontal="center" vertical="center"/>
    </xf>
    <xf numFmtId="0" fontId="15" fillId="5" borderId="16" xfId="2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4" fillId="2" borderId="23" xfId="2" applyFont="1" applyFill="1" applyBorder="1"/>
    <xf numFmtId="0" fontId="14" fillId="2" borderId="27" xfId="2" applyFont="1" applyFill="1" applyBorder="1"/>
    <xf numFmtId="0" fontId="14" fillId="2" borderId="33" xfId="2" applyFont="1" applyFill="1" applyBorder="1"/>
    <xf numFmtId="0" fontId="1" fillId="2" borderId="38" xfId="2" applyFill="1" applyBorder="1"/>
    <xf numFmtId="0" fontId="1" fillId="2" borderId="34" xfId="2" applyFill="1" applyBorder="1"/>
    <xf numFmtId="0" fontId="1" fillId="2" borderId="27" xfId="2" applyFill="1" applyBorder="1"/>
    <xf numFmtId="0" fontId="1" fillId="2" borderId="33" xfId="2" applyFill="1" applyBorder="1"/>
    <xf numFmtId="0" fontId="1" fillId="2" borderId="39" xfId="2" applyFill="1" applyBorder="1"/>
    <xf numFmtId="0" fontId="14" fillId="2" borderId="35" xfId="2" applyFont="1" applyFill="1" applyBorder="1"/>
    <xf numFmtId="0" fontId="1" fillId="2" borderId="35" xfId="2" applyFill="1" applyBorder="1"/>
    <xf numFmtId="0" fontId="14" fillId="2" borderId="40" xfId="2" applyFont="1" applyFill="1" applyBorder="1"/>
    <xf numFmtId="0" fontId="15" fillId="2" borderId="29" xfId="2" applyFont="1" applyFill="1" applyBorder="1"/>
    <xf numFmtId="164" fontId="14" fillId="5" borderId="22" xfId="2" applyNumberFormat="1" applyFont="1" applyFill="1" applyBorder="1" applyAlignment="1">
      <alignment horizontal="center" vertical="center"/>
    </xf>
    <xf numFmtId="0" fontId="14" fillId="2" borderId="39" xfId="2" applyFont="1" applyFill="1" applyBorder="1"/>
    <xf numFmtId="164" fontId="14" fillId="4" borderId="5" xfId="0" applyNumberFormat="1" applyFont="1" applyFill="1" applyBorder="1" applyAlignment="1" applyProtection="1">
      <alignment horizontal="right" vertical="center"/>
      <protection locked="0"/>
    </xf>
    <xf numFmtId="164" fontId="14" fillId="4" borderId="11" xfId="0" applyNumberFormat="1" applyFont="1" applyFill="1" applyBorder="1" applyAlignment="1" applyProtection="1">
      <alignment horizontal="right" vertical="center"/>
      <protection locked="0"/>
    </xf>
    <xf numFmtId="0" fontId="14" fillId="6" borderId="48" xfId="0" applyFont="1" applyFill="1" applyBorder="1" applyAlignment="1" applyProtection="1">
      <alignment horizontal="center" vertical="center"/>
      <protection locked="0"/>
    </xf>
    <xf numFmtId="164" fontId="14" fillId="4" borderId="5" xfId="0" applyNumberFormat="1" applyFont="1" applyFill="1" applyBorder="1" applyAlignment="1" applyProtection="1">
      <alignment vertical="center"/>
      <protection locked="0"/>
    </xf>
    <xf numFmtId="164" fontId="14" fillId="4" borderId="11" xfId="0" applyNumberFormat="1" applyFont="1" applyFill="1" applyBorder="1" applyAlignment="1" applyProtection="1">
      <alignment vertical="center"/>
      <protection locked="0"/>
    </xf>
    <xf numFmtId="10" fontId="14" fillId="2" borderId="5" xfId="0" applyNumberFormat="1" applyFont="1" applyFill="1" applyBorder="1" applyProtection="1">
      <protection locked="0"/>
    </xf>
    <xf numFmtId="164" fontId="14" fillId="2" borderId="5" xfId="0" applyNumberFormat="1" applyFont="1" applyFill="1" applyBorder="1" applyProtection="1">
      <protection locked="0"/>
    </xf>
    <xf numFmtId="164" fontId="14" fillId="2" borderId="15" xfId="0" applyNumberFormat="1" applyFont="1" applyFill="1" applyBorder="1" applyProtection="1">
      <protection locked="0"/>
    </xf>
    <xf numFmtId="164" fontId="15" fillId="2" borderId="1" xfId="0" applyNumberFormat="1" applyFont="1" applyFill="1" applyBorder="1" applyProtection="1">
      <protection locked="0"/>
    </xf>
    <xf numFmtId="164" fontId="14" fillId="2" borderId="16" xfId="0" applyNumberFormat="1" applyFont="1" applyFill="1" applyBorder="1" applyProtection="1">
      <protection locked="0"/>
    </xf>
    <xf numFmtId="164" fontId="14" fillId="2" borderId="11" xfId="0" applyNumberFormat="1" applyFont="1" applyFill="1" applyBorder="1" applyProtection="1">
      <protection locked="0"/>
    </xf>
    <xf numFmtId="164" fontId="14" fillId="2" borderId="16" xfId="0" applyNumberFormat="1" applyFont="1" applyFill="1" applyBorder="1" applyAlignment="1" applyProtection="1">
      <alignment horizontal="right" vertical="center"/>
      <protection locked="0"/>
    </xf>
    <xf numFmtId="164" fontId="14" fillId="2" borderId="15" xfId="0" applyNumberFormat="1" applyFont="1" applyFill="1" applyBorder="1" applyAlignment="1" applyProtection="1">
      <alignment horizontal="right" vertical="center"/>
      <protection locked="0"/>
    </xf>
    <xf numFmtId="10" fontId="14" fillId="2" borderId="5" xfId="0" applyNumberFormat="1" applyFont="1" applyFill="1" applyBorder="1" applyAlignment="1" applyProtection="1">
      <alignment horizontal="right" vertical="center"/>
      <protection locked="0"/>
    </xf>
    <xf numFmtId="164" fontId="14" fillId="2" borderId="5" xfId="0" applyNumberFormat="1" applyFont="1" applyFill="1" applyBorder="1" applyAlignment="1" applyProtection="1">
      <alignment horizontal="right" vertical="center"/>
      <protection locked="0"/>
    </xf>
    <xf numFmtId="164" fontId="14" fillId="2" borderId="1" xfId="0" applyNumberFormat="1" applyFont="1" applyFill="1" applyBorder="1" applyAlignment="1" applyProtection="1">
      <alignment horizontal="right" vertical="center"/>
      <protection locked="0"/>
    </xf>
    <xf numFmtId="0" fontId="14" fillId="6" borderId="43" xfId="0" applyFont="1" applyFill="1" applyBorder="1" applyAlignment="1" applyProtection="1">
      <alignment horizontal="center" vertical="center"/>
      <protection locked="0"/>
    </xf>
    <xf numFmtId="0" fontId="0" fillId="6" borderId="43" xfId="0" applyFill="1" applyBorder="1" applyAlignment="1" applyProtection="1">
      <alignment horizontal="center" vertical="center"/>
      <protection locked="0"/>
    </xf>
    <xf numFmtId="0" fontId="14" fillId="6" borderId="19" xfId="0" applyFont="1" applyFill="1" applyBorder="1" applyAlignment="1" applyProtection="1">
      <alignment horizontal="center" vertical="center"/>
      <protection locked="0"/>
    </xf>
    <xf numFmtId="164" fontId="29" fillId="2" borderId="0" xfId="0" applyNumberFormat="1" applyFont="1" applyFill="1" applyAlignment="1" applyProtection="1">
      <alignment horizontal="center" vertical="center"/>
      <protection locked="0"/>
    </xf>
    <xf numFmtId="14" fontId="0" fillId="0" borderId="0" xfId="0" applyNumberFormat="1"/>
    <xf numFmtId="0" fontId="14" fillId="6" borderId="56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/>
    <xf numFmtId="0" fontId="24" fillId="2" borderId="0" xfId="0" applyFont="1" applyFill="1" applyAlignment="1">
      <alignment vertical="center"/>
    </xf>
    <xf numFmtId="0" fontId="8" fillId="2" borderId="0" xfId="1" applyFill="1" applyAlignment="1" applyProtection="1">
      <alignment horizontal="left" vertical="center"/>
      <protection locked="0"/>
    </xf>
    <xf numFmtId="0" fontId="8" fillId="2" borderId="0" xfId="1" applyFill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1" applyFill="1" applyBorder="1" applyAlignment="1" applyProtection="1">
      <protection locked="0"/>
    </xf>
    <xf numFmtId="0" fontId="21" fillId="2" borderId="0" xfId="0" applyFont="1" applyFill="1" applyAlignment="1">
      <alignment horizontal="center"/>
    </xf>
    <xf numFmtId="0" fontId="14" fillId="0" borderId="0" xfId="2" applyFont="1" applyAlignment="1">
      <alignment horizontal="center" vertical="center"/>
    </xf>
    <xf numFmtId="0" fontId="14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4" fillId="2" borderId="36" xfId="0" applyFont="1" applyFill="1" applyBorder="1" applyAlignment="1">
      <alignment horizontal="right" vertical="center"/>
    </xf>
    <xf numFmtId="0" fontId="14" fillId="2" borderId="44" xfId="0" applyFont="1" applyFill="1" applyBorder="1" applyAlignment="1">
      <alignment horizontal="right" vertical="center"/>
    </xf>
    <xf numFmtId="0" fontId="14" fillId="6" borderId="45" xfId="0" applyFont="1" applyFill="1" applyBorder="1" applyAlignment="1" applyProtection="1">
      <alignment horizontal="right" vertical="center"/>
      <protection locked="0"/>
    </xf>
    <xf numFmtId="0" fontId="14" fillId="6" borderId="46" xfId="0" applyFont="1" applyFill="1" applyBorder="1" applyAlignment="1" applyProtection="1">
      <alignment horizontal="right" vertical="center"/>
      <protection locked="0"/>
    </xf>
    <xf numFmtId="0" fontId="14" fillId="6" borderId="47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>
      <alignment horizontal="center"/>
    </xf>
    <xf numFmtId="164" fontId="14" fillId="6" borderId="45" xfId="0" applyNumberFormat="1" applyFont="1" applyFill="1" applyBorder="1" applyAlignment="1" applyProtection="1">
      <alignment horizontal="right" vertical="center"/>
      <protection locked="0"/>
    </xf>
    <xf numFmtId="164" fontId="14" fillId="6" borderId="46" xfId="0" applyNumberFormat="1" applyFont="1" applyFill="1" applyBorder="1" applyAlignment="1" applyProtection="1">
      <alignment horizontal="right" vertical="center"/>
      <protection locked="0"/>
    </xf>
    <xf numFmtId="164" fontId="14" fillId="6" borderId="47" xfId="0" applyNumberFormat="1" applyFont="1" applyFill="1" applyBorder="1" applyAlignment="1" applyProtection="1">
      <alignment horizontal="right" vertical="center"/>
      <protection locked="0"/>
    </xf>
    <xf numFmtId="164" fontId="27" fillId="5" borderId="45" xfId="0" applyNumberFormat="1" applyFont="1" applyFill="1" applyBorder="1" applyAlignment="1">
      <alignment horizontal="right" vertical="center"/>
    </xf>
    <xf numFmtId="164" fontId="27" fillId="5" borderId="46" xfId="0" applyNumberFormat="1" applyFont="1" applyFill="1" applyBorder="1" applyAlignment="1">
      <alignment horizontal="right" vertical="center"/>
    </xf>
    <xf numFmtId="164" fontId="27" fillId="5" borderId="47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4" fillId="2" borderId="37" xfId="0" applyFont="1" applyFill="1" applyBorder="1" applyAlignment="1">
      <alignment horizontal="right" vertical="center"/>
    </xf>
    <xf numFmtId="164" fontId="14" fillId="6" borderId="49" xfId="0" applyNumberFormat="1" applyFont="1" applyFill="1" applyBorder="1" applyAlignment="1" applyProtection="1">
      <alignment horizontal="right" vertical="center"/>
      <protection locked="0"/>
    </xf>
    <xf numFmtId="164" fontId="27" fillId="5" borderId="49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14" fillId="6" borderId="49" xfId="0" applyFont="1" applyFill="1" applyBorder="1" applyAlignment="1" applyProtection="1">
      <alignment horizontal="right" vertical="center"/>
      <protection locked="0"/>
    </xf>
    <xf numFmtId="164" fontId="14" fillId="6" borderId="50" xfId="0" applyNumberFormat="1" applyFont="1" applyFill="1" applyBorder="1" applyAlignment="1" applyProtection="1">
      <alignment horizontal="right" vertical="center"/>
      <protection locked="0"/>
    </xf>
    <xf numFmtId="164" fontId="27" fillId="5" borderId="50" xfId="0" applyNumberFormat="1" applyFont="1" applyFill="1" applyBorder="1"/>
    <xf numFmtId="164" fontId="27" fillId="5" borderId="46" xfId="0" applyNumberFormat="1" applyFont="1" applyFill="1" applyBorder="1"/>
    <xf numFmtId="164" fontId="27" fillId="5" borderId="47" xfId="0" applyNumberFormat="1" applyFont="1" applyFill="1" applyBorder="1"/>
    <xf numFmtId="0" fontId="15" fillId="3" borderId="7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right"/>
    </xf>
    <xf numFmtId="0" fontId="14" fillId="2" borderId="37" xfId="0" applyFont="1" applyFill="1" applyBorder="1" applyAlignment="1">
      <alignment horizontal="right"/>
    </xf>
    <xf numFmtId="0" fontId="14" fillId="2" borderId="51" xfId="0" applyFont="1" applyFill="1" applyBorder="1" applyAlignment="1">
      <alignment horizontal="right" vertical="center"/>
    </xf>
    <xf numFmtId="0" fontId="14" fillId="2" borderId="52" xfId="0" applyFont="1" applyFill="1" applyBorder="1" applyAlignment="1">
      <alignment horizontal="right" vertical="center"/>
    </xf>
    <xf numFmtId="0" fontId="14" fillId="2" borderId="53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 vertical="center"/>
    </xf>
    <xf numFmtId="0" fontId="14" fillId="2" borderId="7" xfId="0" applyFont="1" applyFill="1" applyBorder="1" applyAlignment="1">
      <alignment horizontal="right" vertical="center"/>
    </xf>
    <xf numFmtId="0" fontId="14" fillId="2" borderId="51" xfId="0" applyFont="1" applyFill="1" applyBorder="1" applyAlignment="1">
      <alignment horizontal="right"/>
    </xf>
    <xf numFmtId="0" fontId="14" fillId="7" borderId="36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4" fillId="6" borderId="55" xfId="0" applyFont="1" applyFill="1" applyBorder="1" applyAlignment="1" applyProtection="1">
      <alignment horizontal="center" vertical="center"/>
      <protection locked="0"/>
    </xf>
    <xf numFmtId="0" fontId="14" fillId="6" borderId="20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right" vertical="center"/>
    </xf>
    <xf numFmtId="0" fontId="14" fillId="0" borderId="29" xfId="0" applyFont="1" applyBorder="1" applyAlignment="1">
      <alignment horizontal="right" vertical="center"/>
    </xf>
    <xf numFmtId="0" fontId="14" fillId="0" borderId="39" xfId="0" applyFont="1" applyBorder="1" applyAlignment="1">
      <alignment horizontal="right" vertical="center"/>
    </xf>
    <xf numFmtId="0" fontId="14" fillId="0" borderId="36" xfId="0" applyFont="1" applyBorder="1" applyAlignment="1">
      <alignment horizontal="right" vertical="center"/>
    </xf>
    <xf numFmtId="0" fontId="14" fillId="0" borderId="51" xfId="0" applyFont="1" applyBorder="1" applyAlignment="1">
      <alignment horizontal="right" vertical="center"/>
    </xf>
    <xf numFmtId="0" fontId="14" fillId="0" borderId="37" xfId="0" applyFont="1" applyBorder="1" applyAlignment="1">
      <alignment horizontal="right" vertical="center"/>
    </xf>
    <xf numFmtId="0" fontId="14" fillId="2" borderId="16" xfId="0" applyFont="1" applyFill="1" applyBorder="1" applyAlignment="1">
      <alignment horizontal="right" vertical="center"/>
    </xf>
    <xf numFmtId="0" fontId="14" fillId="2" borderId="5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14" fillId="6" borderId="59" xfId="0" applyFont="1" applyFill="1" applyBorder="1" applyAlignment="1" applyProtection="1">
      <alignment horizontal="center" vertical="center"/>
      <protection locked="0"/>
    </xf>
    <xf numFmtId="0" fontId="14" fillId="6" borderId="60" xfId="0" applyFont="1" applyFill="1" applyBorder="1" applyAlignment="1" applyProtection="1">
      <alignment horizontal="center" vertical="center"/>
      <protection locked="0"/>
    </xf>
    <xf numFmtId="0" fontId="14" fillId="6" borderId="57" xfId="0" applyFont="1" applyFill="1" applyBorder="1" applyAlignment="1" applyProtection="1">
      <alignment horizontal="center" vertical="center"/>
      <protection locked="0"/>
    </xf>
    <xf numFmtId="0" fontId="14" fillId="6" borderId="58" xfId="0" applyFont="1" applyFill="1" applyBorder="1" applyAlignment="1" applyProtection="1">
      <alignment horizontal="center" vertical="center"/>
      <protection locked="0"/>
    </xf>
    <xf numFmtId="0" fontId="15" fillId="3" borderId="45" xfId="0" applyFont="1" applyFill="1" applyBorder="1" applyAlignment="1">
      <alignment horizontal="center"/>
    </xf>
    <xf numFmtId="0" fontId="15" fillId="3" borderId="46" xfId="0" applyFont="1" applyFill="1" applyBorder="1" applyAlignment="1">
      <alignment horizontal="center"/>
    </xf>
    <xf numFmtId="0" fontId="15" fillId="3" borderId="47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6" fillId="4" borderId="2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4" fillId="0" borderId="44" xfId="0" applyFont="1" applyBorder="1" applyAlignment="1">
      <alignment horizontal="right" vertical="center"/>
    </xf>
    <xf numFmtId="0" fontId="14" fillId="0" borderId="34" xfId="0" applyFont="1" applyBorder="1" applyAlignment="1">
      <alignment horizontal="right" vertical="center"/>
    </xf>
    <xf numFmtId="0" fontId="14" fillId="6" borderId="28" xfId="0" applyFont="1" applyFill="1" applyBorder="1" applyAlignment="1" applyProtection="1">
      <alignment horizontal="center" vertical="center"/>
      <protection locked="0"/>
    </xf>
    <xf numFmtId="0" fontId="14" fillId="6" borderId="19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right" vertical="center"/>
    </xf>
    <xf numFmtId="0" fontId="14" fillId="2" borderId="29" xfId="0" applyFont="1" applyFill="1" applyBorder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164" fontId="15" fillId="2" borderId="0" xfId="0" applyNumberFormat="1" applyFont="1" applyFill="1" applyAlignment="1" applyProtection="1">
      <alignment horizontal="right" vertical="center"/>
      <protection locked="0"/>
    </xf>
    <xf numFmtId="0" fontId="9" fillId="2" borderId="0" xfId="0" applyFont="1" applyFill="1" applyAlignment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0" fontId="28" fillId="3" borderId="0" xfId="0" applyFont="1" applyFill="1" applyAlignment="1">
      <alignment horizontal="center" vertical="center"/>
    </xf>
    <xf numFmtId="164" fontId="0" fillId="2" borderId="0" xfId="0" applyNumberFormat="1" applyFill="1" applyAlignment="1" applyProtection="1">
      <alignment horizontal="right" vertical="center"/>
      <protection locked="0"/>
    </xf>
    <xf numFmtId="0" fontId="9" fillId="2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right" vertical="center"/>
    </xf>
    <xf numFmtId="0" fontId="0" fillId="2" borderId="29" xfId="0" applyFill="1" applyBorder="1" applyAlignment="1">
      <alignment horizontal="right" vertical="center"/>
    </xf>
    <xf numFmtId="0" fontId="14" fillId="2" borderId="36" xfId="0" applyFont="1" applyFill="1" applyBorder="1" applyAlignment="1">
      <alignment horizontal="right" vertical="center" wrapText="1"/>
    </xf>
    <xf numFmtId="0" fontId="14" fillId="2" borderId="51" xfId="0" applyFont="1" applyFill="1" applyBorder="1" applyAlignment="1">
      <alignment horizontal="right" vertical="center" wrapText="1"/>
    </xf>
    <xf numFmtId="0" fontId="14" fillId="2" borderId="44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4" fillId="2" borderId="40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center" wrapText="1"/>
    </xf>
    <xf numFmtId="0" fontId="0" fillId="2" borderId="36" xfId="0" applyFill="1" applyBorder="1" applyAlignment="1">
      <alignment horizontal="right" vertical="center"/>
    </xf>
    <xf numFmtId="0" fontId="0" fillId="2" borderId="51" xfId="0" applyFill="1" applyBorder="1" applyAlignment="1">
      <alignment horizontal="right" vertical="center"/>
    </xf>
    <xf numFmtId="0" fontId="0" fillId="2" borderId="44" xfId="0" applyFill="1" applyBorder="1" applyAlignment="1">
      <alignment horizontal="right" vertical="center"/>
    </xf>
    <xf numFmtId="0" fontId="9" fillId="2" borderId="0" xfId="0" applyFont="1" applyFill="1" applyAlignment="1">
      <alignment horizontal="center"/>
    </xf>
    <xf numFmtId="0" fontId="14" fillId="2" borderId="44" xfId="0" applyFont="1" applyFill="1" applyBorder="1" applyAlignment="1">
      <alignment horizontal="right"/>
    </xf>
    <xf numFmtId="0" fontId="25" fillId="2" borderId="0" xfId="0" applyFont="1" applyFill="1" applyAlignment="1">
      <alignment horizontal="center" vertical="center" wrapText="1"/>
    </xf>
    <xf numFmtId="164" fontId="14" fillId="2" borderId="0" xfId="0" applyNumberFormat="1" applyFont="1" applyFill="1" applyAlignment="1">
      <alignment horizontal="right" vertical="center"/>
    </xf>
    <xf numFmtId="164" fontId="14" fillId="2" borderId="0" xfId="0" applyNumberFormat="1" applyFont="1" applyFill="1" applyAlignment="1" applyProtection="1">
      <alignment horizontal="right" vertical="center"/>
      <protection locked="0"/>
    </xf>
    <xf numFmtId="0" fontId="1" fillId="0" borderId="0" xfId="2" applyAlignment="1">
      <alignment horizontal="center"/>
    </xf>
    <xf numFmtId="0" fontId="15" fillId="3" borderId="10" xfId="2" applyFont="1" applyFill="1" applyBorder="1" applyAlignment="1">
      <alignment horizontal="center" vertical="center" wrapText="1"/>
    </xf>
    <xf numFmtId="0" fontId="15" fillId="3" borderId="11" xfId="2" applyFont="1" applyFill="1" applyBorder="1" applyAlignment="1">
      <alignment horizontal="center" vertical="center" wrapText="1"/>
    </xf>
    <xf numFmtId="0" fontId="15" fillId="3" borderId="14" xfId="2" applyFont="1" applyFill="1" applyBorder="1" applyAlignment="1">
      <alignment horizontal="center" vertical="center" wrapText="1"/>
    </xf>
    <xf numFmtId="0" fontId="15" fillId="3" borderId="15" xfId="2" applyFont="1" applyFill="1" applyBorder="1" applyAlignment="1">
      <alignment horizontal="center" vertical="center" wrapText="1"/>
    </xf>
    <xf numFmtId="0" fontId="15" fillId="3" borderId="10" xfId="2" applyFont="1" applyFill="1" applyBorder="1" applyAlignment="1">
      <alignment horizontal="center" vertical="center"/>
    </xf>
    <xf numFmtId="0" fontId="15" fillId="3" borderId="11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/>
    </xf>
    <xf numFmtId="0" fontId="15" fillId="3" borderId="13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/>
    </xf>
    <xf numFmtId="0" fontId="15" fillId="2" borderId="6" xfId="2" applyFont="1" applyFill="1" applyBorder="1" applyAlignment="1">
      <alignment horizontal="center"/>
    </xf>
    <xf numFmtId="0" fontId="22" fillId="3" borderId="2" xfId="2" applyFont="1" applyFill="1" applyBorder="1" applyAlignment="1">
      <alignment horizontal="center"/>
    </xf>
    <xf numFmtId="0" fontId="22" fillId="3" borderId="7" xfId="2" applyFont="1" applyFill="1" applyBorder="1" applyAlignment="1">
      <alignment horizontal="center"/>
    </xf>
    <xf numFmtId="0" fontId="15" fillId="3" borderId="16" xfId="2" applyFont="1" applyFill="1" applyBorder="1" applyAlignment="1">
      <alignment horizontal="center" wrapText="1"/>
    </xf>
    <xf numFmtId="0" fontId="15" fillId="3" borderId="2" xfId="2" applyFont="1" applyFill="1" applyBorder="1" applyAlignment="1">
      <alignment horizontal="center" wrapText="1"/>
    </xf>
    <xf numFmtId="0" fontId="12" fillId="3" borderId="0" xfId="2" applyFont="1" applyFill="1" applyAlignment="1">
      <alignment horizontal="center"/>
    </xf>
    <xf numFmtId="0" fontId="1" fillId="2" borderId="0" xfId="2" applyFill="1" applyAlignment="1">
      <alignment horizontal="center"/>
    </xf>
    <xf numFmtId="0" fontId="15" fillId="3" borderId="2" xfId="2" applyFont="1" applyFill="1" applyBorder="1" applyAlignment="1">
      <alignment horizontal="center" vertical="center" wrapText="1"/>
    </xf>
    <xf numFmtId="0" fontId="1" fillId="4" borderId="0" xfId="2" applyFill="1" applyAlignment="1">
      <alignment horizontal="center"/>
    </xf>
    <xf numFmtId="0" fontId="22" fillId="3" borderId="10" xfId="2" applyFont="1" applyFill="1" applyBorder="1" applyAlignment="1">
      <alignment horizontal="center" vertical="center"/>
    </xf>
    <xf numFmtId="0" fontId="22" fillId="3" borderId="11" xfId="2" applyFont="1" applyFill="1" applyBorder="1" applyAlignment="1">
      <alignment horizontal="center" vertical="center"/>
    </xf>
    <xf numFmtId="0" fontId="22" fillId="3" borderId="12" xfId="2" applyFont="1" applyFill="1" applyBorder="1" applyAlignment="1">
      <alignment horizontal="center" vertical="center"/>
    </xf>
    <xf numFmtId="0" fontId="22" fillId="3" borderId="13" xfId="2" applyFont="1" applyFill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22" fillId="3" borderId="2" xfId="2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/>
    </xf>
    <xf numFmtId="0" fontId="15" fillId="2" borderId="35" xfId="2" applyFont="1" applyFill="1" applyBorder="1" applyAlignment="1">
      <alignment horizontal="center"/>
    </xf>
    <xf numFmtId="0" fontId="14" fillId="0" borderId="18" xfId="2" applyFont="1" applyBorder="1" applyAlignment="1">
      <alignment horizontal="right" vertical="center"/>
    </xf>
    <xf numFmtId="164" fontId="14" fillId="2" borderId="18" xfId="2" applyNumberFormat="1" applyFont="1" applyFill="1" applyBorder="1" applyAlignment="1">
      <alignment horizontal="center" vertical="center"/>
    </xf>
    <xf numFmtId="0" fontId="14" fillId="2" borderId="18" xfId="2" applyFont="1" applyFill="1" applyBorder="1" applyAlignment="1">
      <alignment horizontal="center" vertical="center"/>
    </xf>
    <xf numFmtId="0" fontId="14" fillId="0" borderId="36" xfId="2" applyFont="1" applyBorder="1" applyAlignment="1">
      <alignment horizontal="right" vertical="center"/>
    </xf>
    <xf numFmtId="0" fontId="14" fillId="0" borderId="37" xfId="2" applyFont="1" applyBorder="1" applyAlignment="1">
      <alignment horizontal="right" vertical="center"/>
    </xf>
    <xf numFmtId="0" fontId="15" fillId="2" borderId="33" xfId="2" applyFont="1" applyFill="1" applyBorder="1" applyAlignment="1">
      <alignment horizontal="center"/>
    </xf>
    <xf numFmtId="164" fontId="14" fillId="0" borderId="18" xfId="2" applyNumberFormat="1" applyFont="1" applyBorder="1" applyAlignment="1">
      <alignment horizontal="center" vertical="center"/>
    </xf>
    <xf numFmtId="0" fontId="14" fillId="0" borderId="41" xfId="2" applyFont="1" applyBorder="1" applyAlignment="1">
      <alignment horizontal="right" vertical="center"/>
    </xf>
    <xf numFmtId="0" fontId="14" fillId="0" borderId="42" xfId="2" applyFont="1" applyBorder="1" applyAlignment="1">
      <alignment horizontal="right" vertical="center"/>
    </xf>
    <xf numFmtId="164" fontId="14" fillId="0" borderId="13" xfId="2" applyNumberFormat="1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8" xfId="2" applyFont="1" applyBorder="1" applyAlignment="1">
      <alignment horizontal="right"/>
    </xf>
    <xf numFmtId="0" fontId="15" fillId="2" borderId="38" xfId="2" applyFont="1" applyFill="1" applyBorder="1" applyAlignment="1">
      <alignment horizontal="center"/>
    </xf>
    <xf numFmtId="0" fontId="15" fillId="2" borderId="34" xfId="2" applyFont="1" applyFill="1" applyBorder="1" applyAlignment="1">
      <alignment horizontal="center"/>
    </xf>
    <xf numFmtId="164" fontId="15" fillId="2" borderId="0" xfId="2" applyNumberFormat="1" applyFont="1" applyFill="1" applyAlignment="1">
      <alignment horizontal="center"/>
    </xf>
    <xf numFmtId="0" fontId="14" fillId="0" borderId="17" xfId="2" applyFont="1" applyBorder="1" applyAlignment="1">
      <alignment horizontal="right"/>
    </xf>
    <xf numFmtId="0" fontId="14" fillId="0" borderId="14" xfId="2" applyFont="1" applyBorder="1" applyAlignment="1">
      <alignment horizontal="right"/>
    </xf>
    <xf numFmtId="164" fontId="14" fillId="0" borderId="0" xfId="2" applyNumberFormat="1" applyFont="1" applyAlignment="1">
      <alignment horizontal="center" vertical="center"/>
    </xf>
    <xf numFmtId="0" fontId="14" fillId="2" borderId="2" xfId="2" applyFont="1" applyFill="1" applyBorder="1" applyAlignment="1">
      <alignment horizontal="left"/>
    </xf>
    <xf numFmtId="0" fontId="14" fillId="2" borderId="16" xfId="2" applyFont="1" applyFill="1" applyBorder="1" applyAlignment="1">
      <alignment horizontal="left"/>
    </xf>
    <xf numFmtId="164" fontId="19" fillId="2" borderId="18" xfId="2" applyNumberFormat="1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/>
    </xf>
    <xf numFmtId="0" fontId="14" fillId="0" borderId="36" xfId="2" applyFont="1" applyBorder="1" applyAlignment="1">
      <alignment horizontal="right"/>
    </xf>
    <xf numFmtId="0" fontId="14" fillId="0" borderId="37" xfId="2" applyFont="1" applyBorder="1" applyAlignment="1">
      <alignment horizontal="right"/>
    </xf>
    <xf numFmtId="164" fontId="14" fillId="0" borderId="36" xfId="2" applyNumberFormat="1" applyFont="1" applyBorder="1" applyAlignment="1">
      <alignment horizontal="center" vertical="center"/>
    </xf>
    <xf numFmtId="0" fontId="14" fillId="0" borderId="37" xfId="2" applyFont="1" applyBorder="1" applyAlignment="1">
      <alignment horizontal="center" vertical="center"/>
    </xf>
    <xf numFmtId="0" fontId="22" fillId="3" borderId="7" xfId="2" applyFont="1" applyFill="1" applyBorder="1" applyAlignment="1">
      <alignment horizontal="center" vertical="center"/>
    </xf>
    <xf numFmtId="0" fontId="14" fillId="0" borderId="30" xfId="2" applyFont="1" applyBorder="1" applyAlignment="1">
      <alignment horizontal="center"/>
    </xf>
    <xf numFmtId="0" fontId="14" fillId="0" borderId="31" xfId="2" applyFont="1" applyBorder="1" applyAlignment="1">
      <alignment horizontal="center"/>
    </xf>
    <xf numFmtId="0" fontId="14" fillId="0" borderId="32" xfId="2" applyFont="1" applyBorder="1" applyAlignment="1">
      <alignment horizontal="center"/>
    </xf>
    <xf numFmtId="0" fontId="14" fillId="0" borderId="18" xfId="2" applyFont="1" applyBorder="1" applyAlignment="1">
      <alignment horizontal="center" vertical="center"/>
    </xf>
    <xf numFmtId="0" fontId="14" fillId="2" borderId="18" xfId="2" applyFont="1" applyFill="1" applyBorder="1" applyAlignment="1">
      <alignment horizontal="left" vertical="center"/>
    </xf>
    <xf numFmtId="14" fontId="14" fillId="0" borderId="18" xfId="2" applyNumberFormat="1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9B6AF3D8-9763-476F-A22F-7BDFF72D8D4F}"/>
  </cellStyles>
  <dxfs count="920">
    <dxf>
      <font>
        <color theme="0"/>
      </font>
      <fill>
        <patternFill>
          <bgColor theme="0"/>
        </patternFill>
      </fill>
      <border>
        <left/>
        <right style="thin">
          <color rgb="FFE5E6E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 style="thin">
          <color rgb="FFE5E6E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rgb="FFE5E6E2"/>
        </left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rgb="FFE5E6E2"/>
        </left>
        <right/>
        <top style="thin">
          <color rgb="FFE5E6E2"/>
        </top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 style="thin">
          <color rgb="FFE5E6E2"/>
        </right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 style="thin">
          <color rgb="FFE5E6E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border>
        <top style="thin">
          <color rgb="FFE5E6E2"/>
        </top>
        <vertical/>
        <horizontal/>
      </border>
    </dxf>
    <dxf>
      <font>
        <color theme="0"/>
      </font>
      <fill>
        <patternFill>
          <bgColor theme="0"/>
        </patternFill>
      </fill>
      <border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rgb="FFE5E6E2"/>
        </left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top style="thin">
          <color rgb="FFE5E6E2"/>
        </top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rgb="FFE5E6E2"/>
        </left>
        <top style="thin">
          <color rgb="FFE5E6E2"/>
        </top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rgb="FFE5E6E2"/>
        </left>
        <top style="thin">
          <color rgb="FFE5E6E2"/>
        </top>
      </border>
    </dxf>
    <dxf>
      <font>
        <color theme="0"/>
      </font>
      <fill>
        <patternFill>
          <bgColor theme="0"/>
        </patternFill>
      </fill>
      <border>
        <left style="thin">
          <color rgb="FFE5E6E2"/>
        </left>
        <right/>
        <top style="thin">
          <color rgb="FFE5E6E2"/>
        </top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rgb="FFE5E6E2"/>
        </left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rgb="FFE5E6E2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rgb="FFE5E6E2"/>
        </left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 style="thin">
          <color rgb="FFE5E6E2"/>
        </right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rgb="FF005F9E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rgb="FFA1CE57"/>
        </patternFill>
      </fill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rgb="FFA1CE57"/>
        </patternFill>
      </fill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rgb="FFA1CE57"/>
        </patternFill>
      </fill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rgb="FFF68A33"/>
        </patternFill>
      </fill>
    </dxf>
    <dxf>
      <font>
        <color theme="0"/>
      </font>
      <fill>
        <patternFill>
          <bgColor rgb="FF005F9E"/>
        </patternFill>
      </fill>
    </dxf>
    <dxf>
      <font>
        <color theme="0"/>
      </font>
      <fill>
        <patternFill>
          <bgColor rgb="FFF68A33"/>
        </patternFill>
      </fill>
    </dxf>
    <dxf>
      <font>
        <color theme="0"/>
      </font>
      <fill>
        <patternFill>
          <bgColor rgb="FF005F9E"/>
        </patternFill>
      </fill>
    </dxf>
    <dxf>
      <font>
        <color theme="0"/>
      </font>
      <fill>
        <patternFill>
          <bgColor rgb="FFF68A33"/>
        </patternFill>
      </fill>
    </dxf>
    <dxf>
      <font>
        <color theme="0"/>
      </font>
      <fill>
        <patternFill>
          <bgColor rgb="FF005F9E"/>
        </patternFill>
      </fill>
    </dxf>
    <dxf>
      <font>
        <color theme="0"/>
      </font>
      <fill>
        <patternFill>
          <bgColor rgb="FFF68A33"/>
        </patternFill>
      </fill>
    </dxf>
    <dxf>
      <font>
        <color theme="0"/>
      </font>
      <fill>
        <patternFill>
          <bgColor rgb="FF005F9E"/>
        </patternFill>
      </fill>
    </dxf>
    <dxf>
      <font>
        <b val="0"/>
        <i val="0"/>
        <strike val="0"/>
        <color theme="0"/>
      </font>
      <fill>
        <patternFill>
          <bgColor rgb="FFF68A33"/>
        </patternFill>
      </fill>
    </dxf>
    <dxf>
      <font>
        <b val="0"/>
        <i val="0"/>
        <strike val="0"/>
        <color theme="0"/>
      </font>
      <fill>
        <patternFill>
          <bgColor rgb="FFF68A33"/>
        </patternFill>
      </fill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rgb="FFF68A33"/>
      </font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1"/>
      </font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rgb="FFF68A33"/>
      </font>
    </dxf>
    <dxf>
      <font>
        <color theme="1"/>
      </font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rgb="FFF68A33"/>
      </font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rgb="FFF68A33"/>
      </font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auto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auto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rgb="FFF68A33"/>
      </font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rgb="FFF68A33"/>
      </font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auto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rgb="FFF68A33"/>
      </font>
      <fill>
        <patternFill>
          <bgColor theme="0"/>
        </patternFill>
      </fill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auto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auto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rgb="FFF68A33"/>
      </font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auto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auto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</dxf>
    <dxf>
      <font>
        <color auto="1"/>
      </font>
      <fill>
        <patternFill>
          <bgColor theme="0"/>
        </patternFill>
      </fill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rgb="FFF68A33"/>
      </font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color rgb="FFF68A33"/>
      </font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rgb="FFFF0000"/>
      </font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rgb="FFF68A33"/>
      </font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auto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auto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rgb="FFF68A33"/>
      </font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color rgb="FFF68A33"/>
      </font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auto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rgb="FFF68A33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rgb="FFF68A33"/>
      </font>
    </dxf>
    <dxf>
      <font>
        <color theme="0"/>
      </font>
    </dxf>
    <dxf>
      <font>
        <color rgb="FFF68A33"/>
      </font>
    </dxf>
    <dxf>
      <font>
        <color theme="0"/>
      </font>
    </dxf>
    <dxf>
      <font>
        <color rgb="FFF68A33"/>
      </font>
    </dxf>
    <dxf>
      <font>
        <color theme="0"/>
      </font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005F9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005F9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rgb="FFF68A33"/>
      </font>
    </dxf>
    <dxf>
      <font>
        <color theme="0"/>
      </font>
    </dxf>
    <dxf>
      <font>
        <color rgb="FFF68A33"/>
      </font>
    </dxf>
    <dxf>
      <font>
        <color theme="0"/>
      </font>
    </dxf>
    <dxf>
      <font>
        <color rgb="FFF68A33"/>
      </font>
    </dxf>
    <dxf>
      <font>
        <color theme="0"/>
      </font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b val="0"/>
        <i val="0"/>
        <color rgb="FFF68A33"/>
      </font>
    </dxf>
    <dxf>
      <font>
        <color theme="0"/>
      </font>
    </dxf>
    <dxf>
      <font>
        <color rgb="FFF68A33"/>
      </font>
    </dxf>
    <dxf>
      <font>
        <color theme="0"/>
      </font>
    </dxf>
    <dxf>
      <font>
        <b val="0"/>
        <i val="0"/>
        <color rgb="FFF68A33"/>
      </font>
    </dxf>
    <dxf>
      <font>
        <color theme="0"/>
      </font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theme="0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theme="0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theme="0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theme="0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1"/>
      </font>
    </dxf>
    <dxf>
      <font>
        <b val="0"/>
        <i val="0"/>
        <color theme="1"/>
      </font>
      <fill>
        <patternFill patternType="none">
          <bgColor auto="1"/>
        </patternFill>
      </fill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 val="0"/>
        <i val="0"/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 val="0"/>
        <i val="0"/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 val="0"/>
        <i val="0"/>
        <color theme="1"/>
      </font>
      <fill>
        <patternFill>
          <bgColor rgb="FFE5E6E2"/>
        </patternFill>
      </fill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 val="0"/>
        <i val="0"/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 val="0"/>
        <i val="0"/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 val="0"/>
        <i val="0"/>
        <color theme="1"/>
      </font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b val="0"/>
        <i val="0"/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1"/>
      </font>
    </dxf>
    <dxf>
      <font>
        <b/>
        <i val="0"/>
        <color theme="0"/>
      </font>
      <fill>
        <patternFill>
          <bgColor rgb="FF92D05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rgb="FFE5E6E2"/>
        </left>
        <right style="thin">
          <color rgb="FFE5E6E2"/>
        </right>
        <top style="thin">
          <color rgb="FFE5E6E2"/>
        </top>
        <bottom style="thin">
          <color rgb="FFE5E6E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E5E6E2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E5E6E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5E6E2"/>
      <color rgb="FFF68A33"/>
      <color rgb="FFFFFFFF"/>
      <color rgb="FF005F9E"/>
      <color rgb="FFA1CE57"/>
      <color rgb="FF005F93"/>
      <color rgb="FF0059FE"/>
      <color rgb="FF00F59E"/>
      <color rgb="FF005E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r:id="rId1"/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CheckBox" fmlaLink="$M$24" lockText="1" noThreeD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6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695325</xdr:colOff>
      <xdr:row>1</xdr:row>
      <xdr:rowOff>1</xdr:rowOff>
    </xdr:from>
    <xdr:to>
      <xdr:col>12</xdr:col>
      <xdr:colOff>714375</xdr:colOff>
      <xdr:row>2</xdr:row>
      <xdr:rowOff>57151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77325" y="209551"/>
          <a:ext cx="781050" cy="266700"/>
        </a:xfrm>
        <a:prstGeom prst="rect">
          <a:avLst/>
        </a:prstGeom>
        <a:solidFill>
          <a:srgbClr val="005F9E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chemeClr val="bg1"/>
              </a:solidFill>
              <a:latin typeface="Futura LT Pro Book" panose="020B0502020204020303" pitchFamily="34" charset="0"/>
            </a:rPr>
            <a:t>20230216</a:t>
          </a:r>
        </a:p>
      </xdr:txBody>
    </xdr:sp>
    <xdr:clientData/>
  </xdr:twoCellAnchor>
  <xdr:twoCellAnchor editAs="oneCell">
    <xdr:from>
      <xdr:col>9</xdr:col>
      <xdr:colOff>552450</xdr:colOff>
      <xdr:row>20</xdr:row>
      <xdr:rowOff>13414</xdr:rowOff>
    </xdr:from>
    <xdr:to>
      <xdr:col>9</xdr:col>
      <xdr:colOff>742950</xdr:colOff>
      <xdr:row>20</xdr:row>
      <xdr:rowOff>209549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0450" y="3613864"/>
          <a:ext cx="190500" cy="19613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28575</xdr:rowOff>
    </xdr:from>
    <xdr:to>
      <xdr:col>1</xdr:col>
      <xdr:colOff>70104</xdr:colOff>
      <xdr:row>2</xdr:row>
      <xdr:rowOff>102302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28600" y="238125"/>
          <a:ext cx="603504" cy="2832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704850</xdr:colOff>
          <xdr:row>6</xdr:row>
          <xdr:rowOff>180975</xdr:rowOff>
        </xdr:from>
        <xdr:to>
          <xdr:col>10</xdr:col>
          <xdr:colOff>619125</xdr:colOff>
          <xdr:row>8</xdr:row>
          <xdr:rowOff>47625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9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704850</xdr:colOff>
          <xdr:row>6</xdr:row>
          <xdr:rowOff>180975</xdr:rowOff>
        </xdr:from>
        <xdr:to>
          <xdr:col>10</xdr:col>
          <xdr:colOff>619125</xdr:colOff>
          <xdr:row>9</xdr:row>
          <xdr:rowOff>47625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A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16383</xdr:col>
          <xdr:colOff>0</xdr:colOff>
          <xdr:row>12</xdr:row>
          <xdr:rowOff>0</xdr:rowOff>
        </xdr:from>
        <xdr:to>
          <xdr:col>16383</xdr:col>
          <xdr:colOff>0</xdr:colOff>
          <xdr:row>14</xdr:row>
          <xdr:rowOff>57150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B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16383</xdr:col>
          <xdr:colOff>0</xdr:colOff>
          <xdr:row>12</xdr:row>
          <xdr:rowOff>0</xdr:rowOff>
        </xdr:from>
        <xdr:to>
          <xdr:col>16383</xdr:col>
          <xdr:colOff>0</xdr:colOff>
          <xdr:row>14</xdr:row>
          <xdr:rowOff>57150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B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16383</xdr:col>
          <xdr:colOff>0</xdr:colOff>
          <xdr:row>12</xdr:row>
          <xdr:rowOff>0</xdr:rowOff>
        </xdr:from>
        <xdr:to>
          <xdr:col>16383</xdr:col>
          <xdr:colOff>0</xdr:colOff>
          <xdr:row>14</xdr:row>
          <xdr:rowOff>57150</xdr:rowOff>
        </xdr:to>
        <xdr:sp macro="" textlink="">
          <xdr:nvSpPr>
            <xdr:cNvPr id="13316" name="Butto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B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5</xdr:row>
          <xdr:rowOff>190500</xdr:rowOff>
        </xdr:from>
        <xdr:to>
          <xdr:col>7</xdr:col>
          <xdr:colOff>504825</xdr:colOff>
          <xdr:row>7</xdr:row>
          <xdr:rowOff>19050</xdr:rowOff>
        </xdr:to>
        <xdr:sp macro="" textlink="">
          <xdr:nvSpPr>
            <xdr:cNvPr id="13318" name="Button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B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16383</xdr:col>
          <xdr:colOff>0</xdr:colOff>
          <xdr:row>11</xdr:row>
          <xdr:rowOff>47625</xdr:rowOff>
        </xdr:from>
        <xdr:to>
          <xdr:col>16383</xdr:col>
          <xdr:colOff>0</xdr:colOff>
          <xdr:row>12</xdr:row>
          <xdr:rowOff>247650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C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342900</xdr:colOff>
          <xdr:row>6</xdr:row>
          <xdr:rowOff>95250</xdr:rowOff>
        </xdr:from>
        <xdr:to>
          <xdr:col>9</xdr:col>
          <xdr:colOff>542925</xdr:colOff>
          <xdr:row>7</xdr:row>
          <xdr:rowOff>247650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C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590550</xdr:colOff>
          <xdr:row>6</xdr:row>
          <xdr:rowOff>142875</xdr:rowOff>
        </xdr:from>
        <xdr:to>
          <xdr:col>9</xdr:col>
          <xdr:colOff>619125</xdr:colOff>
          <xdr:row>6</xdr:row>
          <xdr:rowOff>619125</xdr:rowOff>
        </xdr:to>
        <xdr:sp macro="" textlink="">
          <xdr:nvSpPr>
            <xdr:cNvPr id="15363" name="Button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D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6</xdr:row>
          <xdr:rowOff>76200</xdr:rowOff>
        </xdr:from>
        <xdr:to>
          <xdr:col>8</xdr:col>
          <xdr:colOff>504825</xdr:colOff>
          <xdr:row>7</xdr:row>
          <xdr:rowOff>228600</xdr:rowOff>
        </xdr:to>
        <xdr:sp macro="" textlink="">
          <xdr:nvSpPr>
            <xdr:cNvPr id="16387" name="Button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E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16383</xdr:col>
          <xdr:colOff>0</xdr:colOff>
          <xdr:row>10</xdr:row>
          <xdr:rowOff>104775</xdr:rowOff>
        </xdr:from>
        <xdr:to>
          <xdr:col>16383</xdr:col>
          <xdr:colOff>0</xdr:colOff>
          <xdr:row>12</xdr:row>
          <xdr:rowOff>161925</xdr:rowOff>
        </xdr:to>
        <xdr:sp macro="" textlink="">
          <xdr:nvSpPr>
            <xdr:cNvPr id="17411" name="Button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F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16383</xdr:col>
          <xdr:colOff>0</xdr:colOff>
          <xdr:row>12</xdr:row>
          <xdr:rowOff>76200</xdr:rowOff>
        </xdr:from>
        <xdr:to>
          <xdr:col>16383</xdr:col>
          <xdr:colOff>0</xdr:colOff>
          <xdr:row>1048575</xdr:row>
          <xdr:rowOff>76200</xdr:rowOff>
        </xdr:to>
        <xdr:sp macro="" textlink="">
          <xdr:nvSpPr>
            <xdr:cNvPr id="17415" name="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F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6</xdr:row>
          <xdr:rowOff>19050</xdr:rowOff>
        </xdr:from>
        <xdr:to>
          <xdr:col>7</xdr:col>
          <xdr:colOff>466725</xdr:colOff>
          <xdr:row>8</xdr:row>
          <xdr:rowOff>57150</xdr:rowOff>
        </xdr:to>
        <xdr:sp macro="" textlink="">
          <xdr:nvSpPr>
            <xdr:cNvPr id="17417" name="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F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304800</xdr:colOff>
          <xdr:row>6</xdr:row>
          <xdr:rowOff>219075</xdr:rowOff>
        </xdr:from>
        <xdr:to>
          <xdr:col>8</xdr:col>
          <xdr:colOff>504825</xdr:colOff>
          <xdr:row>8</xdr:row>
          <xdr:rowOff>161925</xdr:rowOff>
        </xdr:to>
        <xdr:sp macro="" textlink="">
          <xdr:nvSpPr>
            <xdr:cNvPr id="18437" name="Button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10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333375</xdr:colOff>
          <xdr:row>5</xdr:row>
          <xdr:rowOff>161925</xdr:rowOff>
        </xdr:from>
        <xdr:to>
          <xdr:col>7</xdr:col>
          <xdr:colOff>533400</xdr:colOff>
          <xdr:row>6</xdr:row>
          <xdr:rowOff>314325</xdr:rowOff>
        </xdr:to>
        <xdr:sp macro="" textlink="">
          <xdr:nvSpPr>
            <xdr:cNvPr id="19459" name="Button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1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371475</xdr:colOff>
          <xdr:row>5</xdr:row>
          <xdr:rowOff>142875</xdr:rowOff>
        </xdr:from>
        <xdr:to>
          <xdr:col>8</xdr:col>
          <xdr:colOff>571500</xdr:colOff>
          <xdr:row>6</xdr:row>
          <xdr:rowOff>295275</xdr:rowOff>
        </xdr:to>
        <xdr:sp macro="" textlink="">
          <xdr:nvSpPr>
            <xdr:cNvPr id="20482" name="Butto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12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390525</xdr:colOff>
          <xdr:row>6</xdr:row>
          <xdr:rowOff>161925</xdr:rowOff>
        </xdr:from>
        <xdr:to>
          <xdr:col>8</xdr:col>
          <xdr:colOff>590550</xdr:colOff>
          <xdr:row>8</xdr:row>
          <xdr:rowOff>66675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342900</xdr:colOff>
          <xdr:row>5</xdr:row>
          <xdr:rowOff>190500</xdr:rowOff>
        </xdr:from>
        <xdr:to>
          <xdr:col>9</xdr:col>
          <xdr:colOff>542925</xdr:colOff>
          <xdr:row>7</xdr:row>
          <xdr:rowOff>19050</xdr:rowOff>
        </xdr:to>
        <xdr:sp macro="" textlink="">
          <xdr:nvSpPr>
            <xdr:cNvPr id="21507" name="Button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13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352425</xdr:colOff>
          <xdr:row>6</xdr:row>
          <xdr:rowOff>9525</xdr:rowOff>
        </xdr:from>
        <xdr:to>
          <xdr:col>8</xdr:col>
          <xdr:colOff>552450</xdr:colOff>
          <xdr:row>7</xdr:row>
          <xdr:rowOff>161925</xdr:rowOff>
        </xdr:to>
        <xdr:sp macro="" textlink="">
          <xdr:nvSpPr>
            <xdr:cNvPr id="22531" name="Butto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14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6</xdr:row>
          <xdr:rowOff>190500</xdr:rowOff>
        </xdr:from>
        <xdr:to>
          <xdr:col>9</xdr:col>
          <xdr:colOff>523875</xdr:colOff>
          <xdr:row>9</xdr:row>
          <xdr:rowOff>19050</xdr:rowOff>
        </xdr:to>
        <xdr:sp macro="" textlink="">
          <xdr:nvSpPr>
            <xdr:cNvPr id="23555" name="Button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15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342900</xdr:colOff>
          <xdr:row>5</xdr:row>
          <xdr:rowOff>190500</xdr:rowOff>
        </xdr:from>
        <xdr:to>
          <xdr:col>8</xdr:col>
          <xdr:colOff>542925</xdr:colOff>
          <xdr:row>7</xdr:row>
          <xdr:rowOff>19050</xdr:rowOff>
        </xdr:to>
        <xdr:sp macro="" textlink="">
          <xdr:nvSpPr>
            <xdr:cNvPr id="24579" name="Button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16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323850</xdr:colOff>
          <xdr:row>5</xdr:row>
          <xdr:rowOff>190500</xdr:rowOff>
        </xdr:from>
        <xdr:to>
          <xdr:col>8</xdr:col>
          <xdr:colOff>523875</xdr:colOff>
          <xdr:row>7</xdr:row>
          <xdr:rowOff>19050</xdr:rowOff>
        </xdr:to>
        <xdr:sp macro="" textlink="">
          <xdr:nvSpPr>
            <xdr:cNvPr id="25603" name="Button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17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266700</xdr:colOff>
          <xdr:row>5</xdr:row>
          <xdr:rowOff>190500</xdr:rowOff>
        </xdr:from>
        <xdr:to>
          <xdr:col>8</xdr:col>
          <xdr:colOff>466725</xdr:colOff>
          <xdr:row>7</xdr:row>
          <xdr:rowOff>19050</xdr:rowOff>
        </xdr:to>
        <xdr:sp macro="" textlink="">
          <xdr:nvSpPr>
            <xdr:cNvPr id="26627" name="Button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18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</xdr:row>
          <xdr:rowOff>57150</xdr:rowOff>
        </xdr:from>
        <xdr:to>
          <xdr:col>5</xdr:col>
          <xdr:colOff>114300</xdr:colOff>
          <xdr:row>4</xdr:row>
          <xdr:rowOff>171450</xdr:rowOff>
        </xdr:to>
        <xdr:sp macro="" textlink="">
          <xdr:nvSpPr>
            <xdr:cNvPr id="46081" name="Button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19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</xdr:row>
          <xdr:rowOff>47625</xdr:rowOff>
        </xdr:from>
        <xdr:to>
          <xdr:col>5</xdr:col>
          <xdr:colOff>247650</xdr:colOff>
          <xdr:row>8</xdr:row>
          <xdr:rowOff>57150</xdr:rowOff>
        </xdr:to>
        <xdr:sp macro="" textlink="">
          <xdr:nvSpPr>
            <xdr:cNvPr id="46082" name="CMDPositveFactor" hidden="1">
              <a:extLst>
                <a:ext uri="{63B3BB69-23CF-44E3-9099-C40C66FF867C}">
                  <a14:compatExt spid="_x0000_s46082"/>
                </a:ext>
                <a:ext uri="{FF2B5EF4-FFF2-40B4-BE49-F238E27FC236}">
                  <a16:creationId xmlns:a16="http://schemas.microsoft.com/office/drawing/2014/main" id="{00000000-0008-0000-1900-00000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</xdr:row>
          <xdr:rowOff>0</xdr:rowOff>
        </xdr:from>
        <xdr:to>
          <xdr:col>11</xdr:col>
          <xdr:colOff>1323975</xdr:colOff>
          <xdr:row>3</xdr:row>
          <xdr:rowOff>114300</xdr:rowOff>
        </xdr:to>
        <xdr:sp macro="" textlink="">
          <xdr:nvSpPr>
            <xdr:cNvPr id="46083" name="Button 3" hidden="1">
              <a:extLst>
                <a:ext uri="{63B3BB69-23CF-44E3-9099-C40C66FF867C}">
                  <a14:compatExt spid="_x0000_s46083"/>
                </a:ext>
                <a:ext uri="{FF2B5EF4-FFF2-40B4-BE49-F238E27FC236}">
                  <a16:creationId xmlns:a16="http://schemas.microsoft.com/office/drawing/2014/main" id="{00000000-0008-0000-1900-00000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Count the code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104775</xdr:colOff>
      <xdr:row>0</xdr:row>
      <xdr:rowOff>66675</xdr:rowOff>
    </xdr:from>
    <xdr:to>
      <xdr:col>1</xdr:col>
      <xdr:colOff>372999</xdr:colOff>
      <xdr:row>1</xdr:row>
      <xdr:rowOff>288214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4775" y="66675"/>
          <a:ext cx="877824" cy="412039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161925</xdr:rowOff>
        </xdr:from>
        <xdr:to>
          <xdr:col>10</xdr:col>
          <xdr:colOff>638175</xdr:colOff>
          <xdr:row>22</xdr:row>
          <xdr:rowOff>161925</xdr:rowOff>
        </xdr:to>
        <xdr:sp macro="" textlink="">
          <xdr:nvSpPr>
            <xdr:cNvPr id="47105" name="TxtDoc" hidden="1">
              <a:extLst>
                <a:ext uri="{63B3BB69-23CF-44E3-9099-C40C66FF867C}">
                  <a14:compatExt spid="_x0000_s47105"/>
                </a:ext>
                <a:ext uri="{FF2B5EF4-FFF2-40B4-BE49-F238E27FC236}">
                  <a16:creationId xmlns:a16="http://schemas.microsoft.com/office/drawing/2014/main" id="{00000000-0008-0000-1A00-000001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57150</xdr:rowOff>
        </xdr:from>
        <xdr:to>
          <xdr:col>10</xdr:col>
          <xdr:colOff>638175</xdr:colOff>
          <xdr:row>22</xdr:row>
          <xdr:rowOff>161925</xdr:rowOff>
        </xdr:to>
        <xdr:sp macro="" textlink="">
          <xdr:nvSpPr>
            <xdr:cNvPr id="47106" name="TxtComment" hidden="1">
              <a:extLst>
                <a:ext uri="{63B3BB69-23CF-44E3-9099-C40C66FF867C}">
                  <a14:compatExt spid="_x0000_s47106"/>
                </a:ext>
                <a:ext uri="{FF2B5EF4-FFF2-40B4-BE49-F238E27FC236}">
                  <a16:creationId xmlns:a16="http://schemas.microsoft.com/office/drawing/2014/main" id="{00000000-0008-0000-1A00-000002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57150</xdr:rowOff>
        </xdr:from>
        <xdr:to>
          <xdr:col>10</xdr:col>
          <xdr:colOff>657225</xdr:colOff>
          <xdr:row>18</xdr:row>
          <xdr:rowOff>95250</xdr:rowOff>
        </xdr:to>
        <xdr:sp macro="" textlink="">
          <xdr:nvSpPr>
            <xdr:cNvPr id="47107" name="LblPoistiveFactor" hidden="1">
              <a:extLst>
                <a:ext uri="{63B3BB69-23CF-44E3-9099-C40C66FF867C}">
                  <a14:compatExt spid="_x0000_s47107"/>
                </a:ext>
                <a:ext uri="{FF2B5EF4-FFF2-40B4-BE49-F238E27FC236}">
                  <a16:creationId xmlns:a16="http://schemas.microsoft.com/office/drawing/2014/main" id="{00000000-0008-0000-1A00-000003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19</xdr:row>
          <xdr:rowOff>247650</xdr:rowOff>
        </xdr:from>
        <xdr:to>
          <xdr:col>10</xdr:col>
          <xdr:colOff>647700</xdr:colOff>
          <xdr:row>21</xdr:row>
          <xdr:rowOff>0</xdr:rowOff>
        </xdr:to>
        <xdr:sp macro="" textlink="">
          <xdr:nvSpPr>
            <xdr:cNvPr id="47108" name="Check Box 4" hidden="1">
              <a:extLst>
                <a:ext uri="{63B3BB69-23CF-44E3-9099-C40C66FF867C}">
                  <a14:compatExt spid="_x0000_s47108"/>
                </a:ext>
                <a:ext uri="{FF2B5EF4-FFF2-40B4-BE49-F238E27FC236}">
                  <a16:creationId xmlns:a16="http://schemas.microsoft.com/office/drawing/2014/main" id="{00000000-0008-0000-1A00-000004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Override Comments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390525</xdr:colOff>
          <xdr:row>6</xdr:row>
          <xdr:rowOff>161925</xdr:rowOff>
        </xdr:from>
        <xdr:to>
          <xdr:col>8</xdr:col>
          <xdr:colOff>590550</xdr:colOff>
          <xdr:row>8</xdr:row>
          <xdr:rowOff>66675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390525</xdr:colOff>
          <xdr:row>6</xdr:row>
          <xdr:rowOff>161925</xdr:rowOff>
        </xdr:from>
        <xdr:to>
          <xdr:col>8</xdr:col>
          <xdr:colOff>590550</xdr:colOff>
          <xdr:row>8</xdr:row>
          <xdr:rowOff>66675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390525</xdr:colOff>
          <xdr:row>6</xdr:row>
          <xdr:rowOff>161925</xdr:rowOff>
        </xdr:from>
        <xdr:to>
          <xdr:col>8</xdr:col>
          <xdr:colOff>590550</xdr:colOff>
          <xdr:row>8</xdr:row>
          <xdr:rowOff>66675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390525</xdr:colOff>
          <xdr:row>6</xdr:row>
          <xdr:rowOff>161925</xdr:rowOff>
        </xdr:from>
        <xdr:to>
          <xdr:col>8</xdr:col>
          <xdr:colOff>590550</xdr:colOff>
          <xdr:row>8</xdr:row>
          <xdr:rowOff>66675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971550</xdr:colOff>
          <xdr:row>6</xdr:row>
          <xdr:rowOff>161925</xdr:rowOff>
        </xdr:from>
        <xdr:to>
          <xdr:col>11</xdr:col>
          <xdr:colOff>114300</xdr:colOff>
          <xdr:row>8</xdr:row>
          <xdr:rowOff>28575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704850</xdr:colOff>
          <xdr:row>6</xdr:row>
          <xdr:rowOff>180975</xdr:rowOff>
        </xdr:from>
        <xdr:to>
          <xdr:col>10</xdr:col>
          <xdr:colOff>619125</xdr:colOff>
          <xdr:row>8</xdr:row>
          <xdr:rowOff>47625</xdr:rowOff>
        </xdr:to>
        <xdr:sp macro="" textlink="">
          <xdr:nvSpPr>
            <xdr:cNvPr id="10244" name="Butto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7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704850</xdr:colOff>
          <xdr:row>6</xdr:row>
          <xdr:rowOff>180975</xdr:rowOff>
        </xdr:from>
        <xdr:to>
          <xdr:col>10</xdr:col>
          <xdr:colOff>619125</xdr:colOff>
          <xdr:row>8</xdr:row>
          <xdr:rowOff>47625</xdr:rowOff>
        </xdr:to>
        <xdr:sp macro="" textlink="">
          <xdr:nvSpPr>
            <xdr:cNvPr id="28673" name="Button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8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Futura LT Pro Book"/>
                </a:rPr>
                <a:t>Clear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32F120-C44C-4122-B734-BB4BB646CE6A}" name="Table1" displayName="Table1" ref="T11:U24" totalsRowShown="0" headerRowDxfId="38">
  <autoFilter ref="T11:U24" xr:uid="{00000000-0009-0000-0100-000001000000}"/>
  <tableColumns count="2">
    <tableColumn id="1" xr3:uid="{D52845BC-99AD-43E2-A5E8-B11AC2D6F6E7}" name="Month"/>
    <tableColumn id="2" xr3:uid="{81074B80-AD0F-4CA9-8275-C4C9B2141F5D}" name="Total Days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2503CC-5B44-4299-8FF2-79121AADE605}" name="Table2" displayName="Table2" ref="W11:X23" totalsRowShown="0" headerRowDxfId="37">
  <autoFilter ref="W11:X23" xr:uid="{18F599A7-66A5-4495-AEE4-33EDDD229061}"/>
  <tableColumns count="2">
    <tableColumn id="1" xr3:uid="{A00ACC73-AD8A-4715-8BD8-0E93F76429F2}" name="Month" dataDxfId="36"/>
    <tableColumn id="2" xr3:uid="{2D996EEB-A738-4F48-B59A-D21C8629F929}" name="Total Days " dataDxfId="3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1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8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2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3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5.xml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2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2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2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Relationship Id="rId4" Type="http://schemas.openxmlformats.org/officeDocument/2006/relationships/ctrlProp" Target="../ctrlProps/ctrlProp2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0.xml"/><Relationship Id="rId2" Type="http://schemas.openxmlformats.org/officeDocument/2006/relationships/vmlDrawing" Target="../drawings/vmlDrawing24.vml"/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25.vml"/><Relationship Id="rId7" Type="http://schemas.openxmlformats.org/officeDocument/2006/relationships/ctrlProp" Target="../ctrlProps/ctrlProp32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31.xml"/><Relationship Id="rId5" Type="http://schemas.openxmlformats.org/officeDocument/2006/relationships/image" Target="../media/image4.emf"/><Relationship Id="rId4" Type="http://schemas.openxmlformats.org/officeDocument/2006/relationships/control" Target="../activeX/activeX1.xml"/><Relationship Id="rId9" Type="http://schemas.openxmlformats.org/officeDocument/2006/relationships/table" Target="../tables/table2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26.vml"/><Relationship Id="rId7" Type="http://schemas.openxmlformats.org/officeDocument/2006/relationships/image" Target="../media/image6.emf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Relationship Id="rId6" Type="http://schemas.openxmlformats.org/officeDocument/2006/relationships/control" Target="../activeX/activeX3.xml"/><Relationship Id="rId5" Type="http://schemas.openxmlformats.org/officeDocument/2006/relationships/image" Target="../media/image5.emf"/><Relationship Id="rId10" Type="http://schemas.openxmlformats.org/officeDocument/2006/relationships/ctrlProp" Target="../ctrlProps/ctrlProp33.xml"/><Relationship Id="rId4" Type="http://schemas.openxmlformats.org/officeDocument/2006/relationships/control" Target="../activeX/activeX2.xml"/><Relationship Id="rId9" Type="http://schemas.openxmlformats.org/officeDocument/2006/relationships/image" Target="../media/image7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8CE8-49DE-42AC-8C9D-8A619A0E1ABE}">
  <sheetPr codeName="Sheet1"/>
  <dimension ref="A1:M34"/>
  <sheetViews>
    <sheetView tabSelected="1" workbookViewId="0">
      <selection activeCell="A9" sqref="A9:C9"/>
    </sheetView>
  </sheetViews>
  <sheetFormatPr defaultColWidth="0" defaultRowHeight="14.25" zeroHeight="1"/>
  <cols>
    <col min="1" max="13" width="8.875" customWidth="1"/>
    <col min="14" max="16384" width="8.875" hidden="1"/>
  </cols>
  <sheetData>
    <row r="1" spans="1:13" ht="16.5" customHeight="1">
      <c r="A1" s="143" t="s">
        <v>93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16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ht="16.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 ht="16.5" customHeight="1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 ht="16.5" customHeight="1">
      <c r="A5" s="144" t="s">
        <v>549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1:13" ht="16.5" customHeight="1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1:13" ht="19.5" customHeight="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47" t="s">
        <v>3</v>
      </c>
      <c r="B9" s="147"/>
      <c r="C9" s="147"/>
      <c r="D9" s="141" t="s">
        <v>61</v>
      </c>
      <c r="E9" s="141"/>
      <c r="F9" s="141"/>
      <c r="G9" s="141" t="s">
        <v>77</v>
      </c>
      <c r="H9" s="141"/>
      <c r="I9" s="141"/>
      <c r="J9" s="141" t="s">
        <v>115</v>
      </c>
      <c r="K9" s="141"/>
      <c r="L9" s="141"/>
      <c r="M9" s="1"/>
    </row>
    <row r="10" spans="1:13">
      <c r="A10" s="141" t="s">
        <v>8</v>
      </c>
      <c r="B10" s="141"/>
      <c r="C10" s="141"/>
      <c r="D10" s="141" t="s">
        <v>62</v>
      </c>
      <c r="E10" s="141"/>
      <c r="F10" s="141"/>
      <c r="G10" s="141" t="s">
        <v>66</v>
      </c>
      <c r="H10" s="141"/>
      <c r="I10" s="141"/>
      <c r="J10" s="141" t="s">
        <v>550</v>
      </c>
      <c r="K10" s="141"/>
      <c r="L10" s="141"/>
      <c r="M10" s="2"/>
    </row>
    <row r="11" spans="1:13">
      <c r="A11" s="141" t="s">
        <v>11</v>
      </c>
      <c r="B11" s="141"/>
      <c r="C11" s="141"/>
      <c r="D11" s="141" t="s">
        <v>63</v>
      </c>
      <c r="E11" s="141"/>
      <c r="F11" s="141"/>
      <c r="G11" s="141" t="s">
        <v>91</v>
      </c>
      <c r="H11" s="141"/>
      <c r="I11" s="141"/>
      <c r="J11" s="141" t="s">
        <v>135</v>
      </c>
      <c r="K11" s="141"/>
      <c r="L11" s="141"/>
      <c r="M11" s="2"/>
    </row>
    <row r="12" spans="1:13">
      <c r="A12" s="141" t="s">
        <v>18</v>
      </c>
      <c r="B12" s="141"/>
      <c r="C12" s="141"/>
      <c r="D12" s="141" t="s">
        <v>64</v>
      </c>
      <c r="E12" s="141"/>
      <c r="F12" s="141"/>
      <c r="G12" s="141" t="s">
        <v>100</v>
      </c>
      <c r="H12" s="141"/>
      <c r="I12" s="141"/>
      <c r="J12" s="141" t="s">
        <v>142</v>
      </c>
      <c r="K12" s="141"/>
      <c r="L12" s="141"/>
      <c r="M12" s="2"/>
    </row>
    <row r="13" spans="1:13">
      <c r="A13" s="141" t="s">
        <v>19</v>
      </c>
      <c r="B13" s="141"/>
      <c r="C13" s="141"/>
      <c r="D13" s="141" t="s">
        <v>67</v>
      </c>
      <c r="E13" s="141"/>
      <c r="F13" s="141"/>
      <c r="G13" s="141" t="s">
        <v>105</v>
      </c>
      <c r="H13" s="141"/>
      <c r="I13" s="141"/>
      <c r="J13" s="141" t="s">
        <v>146</v>
      </c>
      <c r="K13" s="141"/>
      <c r="L13" s="141"/>
      <c r="M13" s="2"/>
    </row>
    <row r="14" spans="1:13">
      <c r="A14" s="141" t="s">
        <v>30</v>
      </c>
      <c r="B14" s="141"/>
      <c r="C14" s="141"/>
      <c r="D14" s="141" t="s">
        <v>92</v>
      </c>
      <c r="E14" s="141"/>
      <c r="F14" s="141"/>
      <c r="G14" s="141" t="s">
        <v>106</v>
      </c>
      <c r="H14" s="141"/>
      <c r="I14" s="141"/>
      <c r="J14" s="141" t="s">
        <v>540</v>
      </c>
      <c r="K14" s="141"/>
      <c r="L14" s="141"/>
      <c r="M14" s="2"/>
    </row>
    <row r="15" spans="1:13">
      <c r="A15" s="142"/>
      <c r="B15" s="142"/>
      <c r="C15" s="142"/>
      <c r="D15" s="142"/>
      <c r="E15" s="142"/>
      <c r="F15" s="142"/>
      <c r="G15" s="2"/>
      <c r="H15" s="2"/>
      <c r="I15" s="2"/>
      <c r="J15" s="2"/>
      <c r="K15" s="2"/>
      <c r="L15" s="2"/>
      <c r="M15" s="2"/>
    </row>
    <row r="16" spans="1:13">
      <c r="A16" s="149" t="s">
        <v>551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</row>
    <row r="17" spans="1:13">
      <c r="A17" s="150" t="s">
        <v>552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</row>
    <row r="18" spans="1:13">
      <c r="A18" s="150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</row>
    <row r="19" spans="1:13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</row>
    <row r="20" spans="1:13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</row>
    <row r="21" spans="1:13">
      <c r="A21" s="48" t="s">
        <v>218</v>
      </c>
      <c r="B21" s="148" t="s">
        <v>217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</row>
    <row r="22" spans="1:13" hidden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idden="1">
      <c r="A23" s="142"/>
      <c r="B23" s="142"/>
      <c r="C23" s="14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idden="1">
      <c r="A24" s="142"/>
      <c r="B24" s="142"/>
      <c r="C24" s="14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idden="1">
      <c r="A25" s="142"/>
      <c r="B25" s="142"/>
      <c r="C25" s="14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idden="1">
      <c r="A26" s="142"/>
      <c r="B26" s="142"/>
      <c r="C26" s="14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idden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idden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idden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idden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sheetProtection algorithmName="SHA-512" hashValue="i2mvvQY/jvfuMYDuej/fHn9Bol/Kb33l2uYrozsRSHLGlcaiIByVl0x9LnSi8nqiydtFLfFKdO4zn5fwWuwadA==" saltValue="QA6N0KoEdn481qUjP40O9g==" spinCount="100000" sheet="1" selectLockedCells="1"/>
  <mergeCells count="35">
    <mergeCell ref="G12:I12"/>
    <mergeCell ref="G13:I13"/>
    <mergeCell ref="G14:I14"/>
    <mergeCell ref="J9:L9"/>
    <mergeCell ref="J10:L10"/>
    <mergeCell ref="J11:L11"/>
    <mergeCell ref="J12:L12"/>
    <mergeCell ref="J13:L13"/>
    <mergeCell ref="J14:L14"/>
    <mergeCell ref="A26:C26"/>
    <mergeCell ref="A23:C23"/>
    <mergeCell ref="A24:C24"/>
    <mergeCell ref="A25:C25"/>
    <mergeCell ref="A14:C14"/>
    <mergeCell ref="A15:C15"/>
    <mergeCell ref="B21:M21"/>
    <mergeCell ref="D14:F14"/>
    <mergeCell ref="A16:M16"/>
    <mergeCell ref="A17:M20"/>
    <mergeCell ref="A1:M4"/>
    <mergeCell ref="A5:M7"/>
    <mergeCell ref="A9:C9"/>
    <mergeCell ref="A10:C10"/>
    <mergeCell ref="A11:C11"/>
    <mergeCell ref="D9:F9"/>
    <mergeCell ref="D10:F10"/>
    <mergeCell ref="D11:F11"/>
    <mergeCell ref="G9:I9"/>
    <mergeCell ref="G10:I10"/>
    <mergeCell ref="G11:I11"/>
    <mergeCell ref="A12:C12"/>
    <mergeCell ref="A13:C13"/>
    <mergeCell ref="D12:F12"/>
    <mergeCell ref="D13:F13"/>
    <mergeCell ref="D15:F15"/>
  </mergeCells>
  <hyperlinks>
    <hyperlink ref="A9:C9" location="'Full Time Hourly'!A1" display="Full Time Hourly" xr:uid="{9C8DFD8F-47C1-4320-8C0C-092CCB1EF800}"/>
    <hyperlink ref="A10:C10" location="'Full Time Semi-Monthly'!A1" display="Full Time Semi-Monthly" xr:uid="{7E19BD1C-7FE2-4993-B41D-502DC7A3BC11}"/>
    <hyperlink ref="A11:C11" location="'Full Time Bi-Weekly'!A1" display="Full Time Bi-Weekly" xr:uid="{82FB93AD-D9FC-4007-A7C2-3B99ED237BFF}"/>
    <hyperlink ref="A12:C12" location="'Full Time Monthly'!A1" display="Full Time Monthly" xr:uid="{9BF5C96C-B170-4E8F-94DB-998DA97B3A02}"/>
    <hyperlink ref="A13:C13" location="'Full Time Annual Salary'!A1" display="Full Time Annual Salary" xr:uid="{383EC252-C9BA-4EC0-A925-CCD8EAEA0606}"/>
    <hyperlink ref="A14:C14" location="'Self Employed Sch C'!A1" display="Self Employment Sch C" xr:uid="{E230675A-0865-4AE9-ACD7-FFE2DFB7EE1D}"/>
    <hyperlink ref="G13:I13" location="'IRA Distributions'!A1" display="IRA Distributions" xr:uid="{F7DBB164-3F19-4398-986C-881CB65B9045}"/>
    <hyperlink ref="G14:I14" location="'Notes Receivable'!A1" display="Notes Receivable" xr:uid="{CF5996D9-A301-459B-996B-DD67C795BE8E}"/>
    <hyperlink ref="J13:L13" location="'Trust '!A1" display="Trust" xr:uid="{AFEC146D-C33E-4CA4-A7E4-78F846E92EAC}"/>
    <hyperlink ref="G10:I10" location="'Child Support'!A1" display="Child Support " xr:uid="{2B5A686F-D724-4620-91C2-62A118FABC55}"/>
    <hyperlink ref="G9:I9" location="'Vehicle Allowance'!A1" display="Vehicle Allowance" xr:uid="{8BB2A638-AC91-422E-9B23-16C94BDC4278}"/>
    <hyperlink ref="D13:F13" location="'Boarder Income'!A1" display="Boarder Income" xr:uid="{BC0907B9-5CB2-4EEF-999F-19FBE367BA49}"/>
    <hyperlink ref="D14:F14" location="'Capital Gains'!A1" display="Capital Gains Income" xr:uid="{F05DF072-846C-4331-ACC7-38B770A94C8C}"/>
    <hyperlink ref="D9:F9" location="'Partnership 1065'!A1" display="Partnership 1065" xr:uid="{85910B5F-5264-442D-99D3-6CC3B120CE50}"/>
    <hyperlink ref="D10:F10" location="'S Corp 1120S'!A1" display="S Corp 1120S" xr:uid="{19A1A17B-AEBA-4ECB-BCA7-07F1A234BC7A}"/>
    <hyperlink ref="D11:F11" location="'Corporation 1120'!A1" display="Corporation 1120" xr:uid="{B3F0563F-2DE6-46A4-BD02-522E5B0FB94D}"/>
    <hyperlink ref="D12:F12" location="Alimony!A1" display="Alimony" xr:uid="{C0419C00-4DF3-4BD6-AABC-A210F3190094}"/>
    <hyperlink ref="J9:L9" location="Pension!A1" display="Pension" xr:uid="{054BEF2B-7209-4B7E-BB6D-D4413BA7CB03}"/>
    <hyperlink ref="J10:L10" location="Rental!A1" display="Rental" xr:uid="{D5E5556F-1E8F-4FD1-B7C7-5F770CCD3A2E}"/>
    <hyperlink ref="J11:L11" location="Royalty!A1" display="Royalties" xr:uid="{9C7C2345-1BC8-4169-9EC8-7F1C9381C673}"/>
    <hyperlink ref="J12:L12" location="'Social Security'!A1" display="Social Security" xr:uid="{CB12D516-B633-4CE9-B01C-DB7F90670093}"/>
    <hyperlink ref="G12:I12" location="'Foster Care '!A1" display="Foster Care" xr:uid="{D91E0769-4853-490C-A088-04F33E1E50D2}"/>
    <hyperlink ref="G11:I11" location="'Dividends &amp; Interest'!A1" display="Dividends and Interest" xr:uid="{C3F5D537-E59B-42C2-810A-E4D2F10516D3}"/>
    <hyperlink ref="J14:L14" location="'Income Calculator'!A1" display="Variable Income" xr:uid="{B721FA0F-E7D0-4B1C-B650-6C1C23FD392A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222D0-DAA2-4873-9AAC-8973D300C3E2}">
  <sheetPr codeName="Sheet9"/>
  <dimension ref="A1:R56"/>
  <sheetViews>
    <sheetView topLeftCell="A4" workbookViewId="0">
      <selection activeCell="H8" sqref="H8:I8"/>
    </sheetView>
  </sheetViews>
  <sheetFormatPr defaultColWidth="8.875" defaultRowHeight="14.25" zeroHeight="1"/>
  <cols>
    <col min="1" max="1" width="7.25" customWidth="1"/>
    <col min="2" max="2" width="22.375" customWidth="1"/>
    <col min="3" max="3" width="8.875" customWidth="1"/>
    <col min="4" max="4" width="13.375" customWidth="1"/>
    <col min="5" max="5" width="18.125" customWidth="1"/>
    <col min="6" max="6" width="13.375" customWidth="1"/>
    <col min="7" max="7" width="13" customWidth="1"/>
    <col min="8" max="8" width="8.875" customWidth="1"/>
    <col min="9" max="9" width="23" customWidth="1"/>
    <col min="10" max="10" width="12.25" customWidth="1"/>
    <col min="11" max="11" width="9.25" customWidth="1"/>
    <col min="12" max="12" width="5.25" customWidth="1"/>
    <col min="13" max="15" width="8.875" customWidth="1"/>
    <col min="16" max="16" width="47.625" customWidth="1"/>
    <col min="17" max="17" width="46.75" customWidth="1"/>
    <col min="18" max="18" width="46.375" customWidth="1"/>
    <col min="19" max="19" width="33.875" customWidth="1"/>
    <col min="16384" max="16384" width="8.375" customWidth="1"/>
  </cols>
  <sheetData>
    <row r="1" spans="1:17">
      <c r="A1" s="222" t="s">
        <v>154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7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7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7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</row>
    <row r="5" spans="1:17">
      <c r="A5" s="223" t="s">
        <v>44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7" ht="18">
      <c r="A7" s="1"/>
      <c r="B7" s="1"/>
      <c r="C7" s="1"/>
      <c r="D7" s="224" t="s">
        <v>0</v>
      </c>
      <c r="E7" s="224"/>
      <c r="F7" s="224"/>
      <c r="G7" s="225"/>
      <c r="H7" s="225"/>
      <c r="I7" s="225"/>
      <c r="J7" s="1"/>
      <c r="K7" s="1"/>
      <c r="L7" s="1"/>
      <c r="M7" s="1"/>
    </row>
    <row r="8" spans="1:17" ht="18">
      <c r="A8" s="1"/>
      <c r="B8" s="1"/>
      <c r="C8" s="1"/>
      <c r="D8" s="226" t="s">
        <v>33</v>
      </c>
      <c r="E8" s="227"/>
      <c r="F8" s="227"/>
      <c r="G8" s="228"/>
      <c r="H8" s="229" t="s">
        <v>29</v>
      </c>
      <c r="I8" s="230"/>
      <c r="J8" s="1"/>
      <c r="K8" s="1"/>
      <c r="L8" s="1"/>
      <c r="M8" s="1"/>
    </row>
    <row r="9" spans="1:17" ht="18">
      <c r="A9" s="1"/>
      <c r="B9" s="1"/>
      <c r="C9" s="1"/>
      <c r="D9" s="231" t="s">
        <v>45</v>
      </c>
      <c r="E9" s="231"/>
      <c r="F9" s="231"/>
      <c r="G9" s="231"/>
      <c r="H9" s="232" t="s">
        <v>29</v>
      </c>
      <c r="I9" s="232"/>
      <c r="J9" s="1"/>
      <c r="K9" s="1"/>
      <c r="L9" s="1"/>
      <c r="M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7" ht="15">
      <c r="A11" s="1"/>
      <c r="B11" s="233" t="s">
        <v>159</v>
      </c>
      <c r="C11" s="233"/>
      <c r="D11" s="233"/>
      <c r="E11" s="233" t="s">
        <v>28</v>
      </c>
      <c r="F11" s="233"/>
      <c r="G11" s="233"/>
      <c r="H11" s="233" t="s">
        <v>160</v>
      </c>
      <c r="I11" s="233"/>
      <c r="J11" s="233"/>
      <c r="K11" s="1"/>
      <c r="L11" s="1"/>
      <c r="M11" s="1"/>
      <c r="P11" t="s">
        <v>49</v>
      </c>
      <c r="Q11" t="s">
        <v>50</v>
      </c>
    </row>
    <row r="12" spans="1:17" ht="15">
      <c r="A12" s="1"/>
      <c r="B12" s="221" t="s">
        <v>34</v>
      </c>
      <c r="C12" s="221"/>
      <c r="D12" s="6"/>
      <c r="E12" s="221" t="s">
        <v>34</v>
      </c>
      <c r="F12" s="221"/>
      <c r="G12" s="6"/>
      <c r="H12" s="221" t="s">
        <v>34</v>
      </c>
      <c r="I12" s="221"/>
      <c r="J12" s="6"/>
      <c r="K12" s="1"/>
      <c r="L12" s="1"/>
      <c r="M12" s="1"/>
    </row>
    <row r="13" spans="1:17" ht="15">
      <c r="A13" s="1"/>
      <c r="B13" s="221" t="s">
        <v>35</v>
      </c>
      <c r="C13" s="221"/>
      <c r="D13" s="7"/>
      <c r="E13" s="221" t="s">
        <v>35</v>
      </c>
      <c r="F13" s="221"/>
      <c r="G13" s="7"/>
      <c r="H13" s="221" t="s">
        <v>35</v>
      </c>
      <c r="I13" s="221"/>
      <c r="J13" s="7"/>
      <c r="K13" s="1"/>
      <c r="L13" s="1"/>
      <c r="M13" s="1"/>
      <c r="P13" s="3">
        <f>IF(H9="Yes",((G23-G18+G19+G20-G21-G22-G17)*G13+(G12+G14+G16))/12, 0)</f>
        <v>0</v>
      </c>
      <c r="Q13" s="3">
        <f>IF(AND(H9="No",(G14&gt;=G15)),((G23-G18+G19+G20-G21-G22-G17)*G13+(G12+G15+G16))/12,0)</f>
        <v>0</v>
      </c>
    </row>
    <row r="14" spans="1:17" ht="15">
      <c r="A14" s="1"/>
      <c r="B14" s="221" t="s">
        <v>36</v>
      </c>
      <c r="C14" s="221"/>
      <c r="D14" s="6"/>
      <c r="E14" s="221" t="s">
        <v>36</v>
      </c>
      <c r="F14" s="221"/>
      <c r="G14" s="6"/>
      <c r="H14" s="221" t="s">
        <v>36</v>
      </c>
      <c r="I14" s="221"/>
      <c r="J14" s="6"/>
      <c r="K14" s="1"/>
      <c r="L14" s="1"/>
      <c r="M14" s="1"/>
      <c r="Q14" t="s">
        <v>51</v>
      </c>
    </row>
    <row r="15" spans="1:17" ht="15">
      <c r="A15" s="1"/>
      <c r="B15" s="221" t="s">
        <v>37</v>
      </c>
      <c r="C15" s="221"/>
      <c r="D15" s="6"/>
      <c r="E15" s="221" t="s">
        <v>37</v>
      </c>
      <c r="F15" s="221"/>
      <c r="G15" s="6"/>
      <c r="H15" s="221" t="s">
        <v>37</v>
      </c>
      <c r="I15" s="221"/>
      <c r="J15" s="6"/>
      <c r="K15" s="1"/>
      <c r="L15" s="1"/>
      <c r="M15" s="1"/>
      <c r="Q15" s="3">
        <f>IF(AND(H9="No",(G14&lt;G15)),((G23-G18+G19+G20-G21-G22-G17)*G13+(G12+G14+G16))/12,0)</f>
        <v>0</v>
      </c>
    </row>
    <row r="16" spans="1:17" ht="15" hidden="1">
      <c r="A16" s="1"/>
      <c r="B16" s="221" t="s">
        <v>48</v>
      </c>
      <c r="C16" s="221"/>
      <c r="D16" s="6"/>
      <c r="E16" s="221" t="s">
        <v>48</v>
      </c>
      <c r="F16" s="221"/>
      <c r="G16" s="6"/>
      <c r="H16" s="221" t="s">
        <v>48</v>
      </c>
      <c r="I16" s="221"/>
      <c r="J16" s="6"/>
      <c r="K16" s="1"/>
      <c r="L16" s="1"/>
      <c r="M16" s="1"/>
      <c r="Q16" s="3"/>
    </row>
    <row r="17" spans="1:18" ht="15" hidden="1">
      <c r="A17" s="1"/>
      <c r="B17" s="221" t="s">
        <v>38</v>
      </c>
      <c r="C17" s="221"/>
      <c r="D17" s="6"/>
      <c r="E17" s="221" t="s">
        <v>38</v>
      </c>
      <c r="F17" s="221"/>
      <c r="G17" s="6"/>
      <c r="H17" s="221" t="s">
        <v>38</v>
      </c>
      <c r="I17" s="221"/>
      <c r="J17" s="6"/>
      <c r="K17" s="1"/>
      <c r="L17" s="1"/>
      <c r="M17" s="1"/>
    </row>
    <row r="18" spans="1:18" ht="15">
      <c r="A18" s="1"/>
      <c r="B18" s="221" t="s">
        <v>39</v>
      </c>
      <c r="C18" s="221"/>
      <c r="D18" s="6"/>
      <c r="E18" s="221" t="s">
        <v>39</v>
      </c>
      <c r="F18" s="221"/>
      <c r="G18" s="6"/>
      <c r="H18" s="221" t="s">
        <v>39</v>
      </c>
      <c r="I18" s="221"/>
      <c r="J18" s="6"/>
      <c r="K18" s="1"/>
      <c r="L18" s="1"/>
      <c r="M18" s="1"/>
      <c r="P18" t="s">
        <v>52</v>
      </c>
      <c r="Q18" t="s">
        <v>54</v>
      </c>
    </row>
    <row r="19" spans="1:18" ht="15">
      <c r="A19" s="1"/>
      <c r="B19" s="221" t="s">
        <v>25</v>
      </c>
      <c r="C19" s="221"/>
      <c r="D19" s="6"/>
      <c r="E19" s="221" t="s">
        <v>25</v>
      </c>
      <c r="F19" s="221"/>
      <c r="G19" s="6"/>
      <c r="H19" s="221" t="s">
        <v>25</v>
      </c>
      <c r="I19" s="221"/>
      <c r="J19" s="6"/>
      <c r="K19" s="1"/>
      <c r="L19" s="1"/>
      <c r="M19" s="1"/>
      <c r="P19" s="3">
        <f>IF(H9="Yes",(((D23-D18+D19+D20-D21-D22-D17)*D13+(D12+D14+D16))+((J23-J18+J19+J20-J21-J22-J17)*J13+(J12+J14+J16)))/24,0)</f>
        <v>0</v>
      </c>
      <c r="Q19" s="3">
        <f>IF(AND(H9="No",D14&gt;D15,J14&gt;J15),(((D23-D18+D19+D20-D21-D22-D17)*D13+(D12+D15+D16))+((J23-J18+J19+J20-J21-J22-J17)*J13+(J12+J15+J16)))/24, 0)</f>
        <v>0</v>
      </c>
    </row>
    <row r="20" spans="1:18" ht="15">
      <c r="A20" s="1"/>
      <c r="B20" s="221" t="s">
        <v>40</v>
      </c>
      <c r="C20" s="221"/>
      <c r="D20" s="6"/>
      <c r="E20" s="221" t="s">
        <v>40</v>
      </c>
      <c r="F20" s="221"/>
      <c r="G20" s="6"/>
      <c r="H20" s="221" t="s">
        <v>40</v>
      </c>
      <c r="I20" s="221"/>
      <c r="J20" s="6"/>
      <c r="K20" s="1"/>
      <c r="L20" s="1"/>
      <c r="M20" s="1"/>
    </row>
    <row r="21" spans="1:18" ht="15">
      <c r="A21" s="1"/>
      <c r="B21" s="221" t="s">
        <v>41</v>
      </c>
      <c r="C21" s="221"/>
      <c r="D21" s="6"/>
      <c r="E21" s="221" t="s">
        <v>41</v>
      </c>
      <c r="F21" s="221"/>
      <c r="G21" s="6"/>
      <c r="H21" s="221" t="s">
        <v>41</v>
      </c>
      <c r="I21" s="221"/>
      <c r="J21" s="6"/>
      <c r="K21" s="1"/>
      <c r="L21" s="1"/>
      <c r="M21" s="1"/>
      <c r="Q21" t="s">
        <v>53</v>
      </c>
    </row>
    <row r="22" spans="1:18" ht="15">
      <c r="A22" s="1"/>
      <c r="B22" s="221" t="s">
        <v>42</v>
      </c>
      <c r="C22" s="221"/>
      <c r="D22" s="6"/>
      <c r="E22" s="221" t="s">
        <v>42</v>
      </c>
      <c r="F22" s="221"/>
      <c r="G22" s="6"/>
      <c r="H22" s="221" t="s">
        <v>42</v>
      </c>
      <c r="I22" s="221"/>
      <c r="J22" s="6"/>
      <c r="K22" s="1"/>
      <c r="L22" s="1"/>
      <c r="M22" s="1"/>
      <c r="Q22" s="3">
        <f>IF(AND(H9="No",D14&lt;D15,J14&lt;J15),(((D23-D18+D19+D20-D21-D22-D17)*D13+(D12+D14+D16))+((J23-J18+J19+J20-J21-J22-J17)*J13+(J12+J14+J16)))/24,0)</f>
        <v>0</v>
      </c>
    </row>
    <row r="23" spans="1:18" ht="15">
      <c r="A23" s="1"/>
      <c r="B23" s="221" t="s">
        <v>43</v>
      </c>
      <c r="C23" s="221"/>
      <c r="D23" s="6"/>
      <c r="E23" s="221" t="s">
        <v>43</v>
      </c>
      <c r="F23" s="221"/>
      <c r="G23" s="6"/>
      <c r="H23" s="221" t="s">
        <v>43</v>
      </c>
      <c r="I23" s="221"/>
      <c r="J23" s="6"/>
      <c r="K23" s="1"/>
      <c r="L23" s="1"/>
      <c r="M23" s="1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P24" t="s">
        <v>55</v>
      </c>
      <c r="Q24" t="s">
        <v>56</v>
      </c>
    </row>
    <row r="25" spans="1:18" ht="15">
      <c r="A25" s="1"/>
      <c r="B25" s="1"/>
      <c r="C25" s="1"/>
      <c r="D25" s="1"/>
      <c r="E25" s="221" t="s">
        <v>7</v>
      </c>
      <c r="F25" s="221"/>
      <c r="G25" s="4">
        <f>IF(AND(H9="Yes",Q25&gt;=P25),P19,IF(AND(H9="Yes",Q25&lt;P25),Q25,IF(AND(H9="No",Q28&gt;=P28,D14&gt;D15,J14&gt;J15),Q19,IF(AND(H9="No",Q28&gt;=P28,D14&lt;D15,J14&lt;J15),Q22,IF(AND(H9="No",Q28&gt;=P28,D14&lt;D15,J14&gt;J15),R28,IF(AND(H9="No",Q28&gt;=P28,D14&gt;D15,J14&lt;J15),R30,IF(AND(H9="No",Q30&gt;P28),R28,IF(AND(H9="No",Q30&gt;=P30,(J14+D14)&gt;(J15+J16)),Q19,IF(AND(H9="No",Q30&lt;P30,(J14+D14)&gt;(J15+J16)),Q30,IF(AND(H9="No",D14&gt;D15,J14&lt;J15),R30,IF(AND(H9="No",D14&lt;D15,J14&gt;J15),R28,0)))))))))))</f>
        <v>0</v>
      </c>
      <c r="H25" s="1"/>
      <c r="I25" s="1"/>
      <c r="J25" s="1"/>
      <c r="K25" s="1"/>
      <c r="L25" s="1"/>
      <c r="M25" s="1"/>
      <c r="P25" s="3">
        <f>IF(H9="Yes",(((D23-D18+D19+D20-D21-D22-D17)*D13+(D12+D14+D16)))/12,0)</f>
        <v>0</v>
      </c>
      <c r="Q25" s="3">
        <f>IF(H9="Yes",((J23-J18+J19+J20-J21-J22-J17)*J13+(J12+J14+J16))/12,0)</f>
        <v>0</v>
      </c>
    </row>
    <row r="26" spans="1:18" ht="15">
      <c r="A26" s="1"/>
      <c r="B26" s="1"/>
      <c r="C26" s="1"/>
      <c r="D26" s="1"/>
      <c r="E26" s="221" t="s">
        <v>7</v>
      </c>
      <c r="F26" s="221"/>
      <c r="G26" s="5">
        <f>IF(AND(H9="No",G14&gt;=G15),Q13,IF(AND(H9="No",G14&lt;G15),Q15,IF(H9="Yes",P13,0)))</f>
        <v>0</v>
      </c>
      <c r="H26" s="1"/>
      <c r="I26" s="1"/>
      <c r="J26" s="1"/>
      <c r="K26" s="1"/>
      <c r="L26" s="1"/>
      <c r="M26" s="1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P27" t="s">
        <v>148</v>
      </c>
      <c r="Q27" t="s">
        <v>150</v>
      </c>
      <c r="R27" t="s">
        <v>152</v>
      </c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P28" s="3">
        <f>IF(AND(H9="No",(D14&lt;D15)),((D23-D18+D19+D20-D21-D22-D17)*D13+(D12+D14+D16))/12,0)</f>
        <v>0</v>
      </c>
      <c r="Q28" s="3">
        <f>IF(AND(H9="No",(J14&lt;J15)),((J23-J18+J19+J20-J21-J22-J17)*J13+(J12+J14+J16))/12,0)</f>
        <v>0</v>
      </c>
      <c r="R28" s="3">
        <f>(P28+Q30)/2</f>
        <v>0</v>
      </c>
    </row>
    <row r="29" spans="1:18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1"/>
      <c r="M29" s="1"/>
      <c r="P29" t="s">
        <v>149</v>
      </c>
      <c r="Q29" t="s">
        <v>151</v>
      </c>
      <c r="R29" t="s">
        <v>153</v>
      </c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P30" s="3">
        <f>IF(AND(H9="No",(D14&gt;D15)),((D23-D18+D19+D20-D21-D22-D17)*D13+(D12+D15+D16))/12,0)</f>
        <v>0</v>
      </c>
      <c r="Q30" s="3">
        <f>IF(AND(H9="No",(J14&gt;J15)),((J23-J18+J19+J20-J21-J22-J17)*J13+(J12+J15+J16))/12,0)</f>
        <v>0</v>
      </c>
      <c r="R30" s="3">
        <f>(P30+Q28)/2</f>
        <v>0</v>
      </c>
    </row>
    <row r="31" spans="1:18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8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idden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idden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idden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idden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idden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idden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idden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idden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idden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idden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idden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idden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idden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idden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idden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idden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idden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idden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idden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idden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sheetProtection selectLockedCells="1"/>
  <mergeCells count="50">
    <mergeCell ref="B12:C12"/>
    <mergeCell ref="E12:F12"/>
    <mergeCell ref="H12:I12"/>
    <mergeCell ref="A1:M4"/>
    <mergeCell ref="A5:M5"/>
    <mergeCell ref="D7:F7"/>
    <mergeCell ref="G7:I7"/>
    <mergeCell ref="D8:G8"/>
    <mergeCell ref="H8:I8"/>
    <mergeCell ref="D9:G9"/>
    <mergeCell ref="H9:I9"/>
    <mergeCell ref="B11:D11"/>
    <mergeCell ref="E11:G11"/>
    <mergeCell ref="H11:J11"/>
    <mergeCell ref="B13:C13"/>
    <mergeCell ref="E13:F13"/>
    <mergeCell ref="H13:I13"/>
    <mergeCell ref="B14:C14"/>
    <mergeCell ref="E14:F14"/>
    <mergeCell ref="H14:I14"/>
    <mergeCell ref="B15:C15"/>
    <mergeCell ref="E15:F15"/>
    <mergeCell ref="H15:I15"/>
    <mergeCell ref="B16:C16"/>
    <mergeCell ref="E16:F16"/>
    <mergeCell ref="H16:I16"/>
    <mergeCell ref="B17:C17"/>
    <mergeCell ref="E17:F17"/>
    <mergeCell ref="H17:I17"/>
    <mergeCell ref="B18:C18"/>
    <mergeCell ref="E18:F18"/>
    <mergeCell ref="H18:I18"/>
    <mergeCell ref="B19:C19"/>
    <mergeCell ref="E19:F19"/>
    <mergeCell ref="H19:I19"/>
    <mergeCell ref="B20:C20"/>
    <mergeCell ref="E20:F20"/>
    <mergeCell ref="H20:I20"/>
    <mergeCell ref="A29:K29"/>
    <mergeCell ref="B21:C21"/>
    <mergeCell ref="E21:F21"/>
    <mergeCell ref="H21:I21"/>
    <mergeCell ref="B22:C22"/>
    <mergeCell ref="E22:F22"/>
    <mergeCell ref="H22:I22"/>
    <mergeCell ref="B23:C23"/>
    <mergeCell ref="E23:F23"/>
    <mergeCell ref="H23:I23"/>
    <mergeCell ref="E25:F25"/>
    <mergeCell ref="E26:F26"/>
  </mergeCells>
  <conditionalFormatting sqref="B11:D11">
    <cfRule type="expression" dxfId="504" priority="39">
      <formula>H8="Two"</formula>
    </cfRule>
    <cfRule type="expression" dxfId="503" priority="142">
      <formula>OR(H8="Select Option",H8="One")</formula>
    </cfRule>
  </conditionalFormatting>
  <conditionalFormatting sqref="B12:D12">
    <cfRule type="expression" dxfId="502" priority="141">
      <formula>OR(H8="Select Option",H8="One")</formula>
    </cfRule>
  </conditionalFormatting>
  <conditionalFormatting sqref="B13:D13">
    <cfRule type="expression" dxfId="501" priority="140">
      <formula>OR(H8="Select Option",H8="One")</formula>
    </cfRule>
  </conditionalFormatting>
  <conditionalFormatting sqref="D13">
    <cfRule type="expression" dxfId="500" priority="37">
      <formula>H8="Two"</formula>
    </cfRule>
    <cfRule type="expression" dxfId="499" priority="139">
      <formula>OR(H8="Select Option",H8="One")</formula>
    </cfRule>
  </conditionalFormatting>
  <conditionalFormatting sqref="B14:C14">
    <cfRule type="expression" dxfId="498" priority="138">
      <formula>OR(H8="Select Option",H8="One")</formula>
    </cfRule>
  </conditionalFormatting>
  <conditionalFormatting sqref="D14">
    <cfRule type="expression" dxfId="497" priority="36">
      <formula>H8="Two"</formula>
    </cfRule>
    <cfRule type="expression" dxfId="496" priority="137">
      <formula>OR(H8="Select Option",H8="One")</formula>
    </cfRule>
  </conditionalFormatting>
  <conditionalFormatting sqref="B15:C15">
    <cfRule type="expression" dxfId="495" priority="136">
      <formula>OR(H8="Select Option",H8="One")</formula>
    </cfRule>
  </conditionalFormatting>
  <conditionalFormatting sqref="D15">
    <cfRule type="expression" dxfId="494" priority="35">
      <formula>H8="Two"</formula>
    </cfRule>
    <cfRule type="expression" dxfId="493" priority="135">
      <formula>OR(H8="Select Option",H8="One")</formula>
    </cfRule>
  </conditionalFormatting>
  <conditionalFormatting sqref="B16:C16">
    <cfRule type="expression" dxfId="492" priority="134">
      <formula>OR(H8="Select Option",H8="One")</formula>
    </cfRule>
  </conditionalFormatting>
  <conditionalFormatting sqref="D16">
    <cfRule type="expression" dxfId="491" priority="34">
      <formula>H8="Two"</formula>
    </cfRule>
    <cfRule type="expression" dxfId="490" priority="133">
      <formula>OR(H8="Select Option",H8="One")</formula>
    </cfRule>
  </conditionalFormatting>
  <conditionalFormatting sqref="B17:C17">
    <cfRule type="expression" dxfId="489" priority="132">
      <formula>OR(H8="Select Option",H8="One")</formula>
    </cfRule>
  </conditionalFormatting>
  <conditionalFormatting sqref="D17">
    <cfRule type="expression" dxfId="488" priority="33">
      <formula>H8="Two"</formula>
    </cfRule>
    <cfRule type="expression" dxfId="487" priority="131">
      <formula>OR(H8="Select Option",H8="One")</formula>
    </cfRule>
  </conditionalFormatting>
  <conditionalFormatting sqref="B18:C18">
    <cfRule type="expression" dxfId="486" priority="130">
      <formula>OR(H8="Select Option",H8="One")</formula>
    </cfRule>
  </conditionalFormatting>
  <conditionalFormatting sqref="D18">
    <cfRule type="expression" dxfId="485" priority="32">
      <formula>H8="Two"</formula>
    </cfRule>
    <cfRule type="expression" dxfId="484" priority="129">
      <formula>OR(H8="Select Option",H8="One")</formula>
    </cfRule>
  </conditionalFormatting>
  <conditionalFormatting sqref="B19:C19">
    <cfRule type="expression" dxfId="483" priority="128">
      <formula>OR(H8="Select Option",H8="One")</formula>
    </cfRule>
  </conditionalFormatting>
  <conditionalFormatting sqref="D19">
    <cfRule type="expression" dxfId="482" priority="31">
      <formula>H8="Two"</formula>
    </cfRule>
    <cfRule type="expression" dxfId="481" priority="127">
      <formula>OR(H8="Select Option",H8="One")</formula>
    </cfRule>
  </conditionalFormatting>
  <conditionalFormatting sqref="B20:C20">
    <cfRule type="expression" dxfId="480" priority="126">
      <formula>OR(H8="Select Option",H8="One")</formula>
    </cfRule>
  </conditionalFormatting>
  <conditionalFormatting sqref="D20">
    <cfRule type="expression" dxfId="479" priority="30">
      <formula>H8="Two"</formula>
    </cfRule>
    <cfRule type="expression" dxfId="478" priority="125">
      <formula>OR(H8="Select Option",H8="One")</formula>
    </cfRule>
  </conditionalFormatting>
  <conditionalFormatting sqref="B21:C21">
    <cfRule type="expression" dxfId="477" priority="124">
      <formula>OR(H8="Select Option",H8="One")</formula>
    </cfRule>
  </conditionalFormatting>
  <conditionalFormatting sqref="D21">
    <cfRule type="expression" dxfId="476" priority="29">
      <formula>H8="Two"</formula>
    </cfRule>
    <cfRule type="expression" dxfId="475" priority="123">
      <formula>OR(H8="Select Option",H8="One")</formula>
    </cfRule>
  </conditionalFormatting>
  <conditionalFormatting sqref="B22:C22">
    <cfRule type="expression" dxfId="474" priority="122">
      <formula>OR(H8="Select Option",H8="One")</formula>
    </cfRule>
  </conditionalFormatting>
  <conditionalFormatting sqref="D22">
    <cfRule type="expression" dxfId="473" priority="28">
      <formula>H8="Two"</formula>
    </cfRule>
    <cfRule type="expression" dxfId="472" priority="121">
      <formula>OR(H8="Select Option",H8="One")</formula>
    </cfRule>
  </conditionalFormatting>
  <conditionalFormatting sqref="B23:C23">
    <cfRule type="expression" dxfId="471" priority="120">
      <formula>OR(H8="Select Option",H8="One")</formula>
    </cfRule>
  </conditionalFormatting>
  <conditionalFormatting sqref="D23">
    <cfRule type="expression" dxfId="470" priority="27">
      <formula>H8="Two"</formula>
    </cfRule>
    <cfRule type="expression" dxfId="469" priority="119">
      <formula>OR(H8="Select Option",H8="One")</formula>
    </cfRule>
  </conditionalFormatting>
  <conditionalFormatting sqref="H11:J11">
    <cfRule type="expression" dxfId="468" priority="118">
      <formula>OR(H8="Select Option",H8="One")</formula>
    </cfRule>
  </conditionalFormatting>
  <conditionalFormatting sqref="H12:I12">
    <cfRule type="expression" dxfId="467" priority="14">
      <formula>H8="Two"</formula>
    </cfRule>
    <cfRule type="expression" dxfId="466" priority="117">
      <formula>OR(H8="Select Option",H8="One")</formula>
    </cfRule>
  </conditionalFormatting>
  <conditionalFormatting sqref="J12">
    <cfRule type="expression" dxfId="465" priority="26">
      <formula>H8="Two"</formula>
    </cfRule>
    <cfRule type="expression" dxfId="464" priority="116">
      <formula>OR(H8="Select Option",H8="One")</formula>
    </cfRule>
  </conditionalFormatting>
  <conditionalFormatting sqref="H13:I13">
    <cfRule type="expression" dxfId="463" priority="13">
      <formula>H8="Two"</formula>
    </cfRule>
    <cfRule type="expression" dxfId="462" priority="115">
      <formula>OR(H8="Select Option",H8="One")</formula>
    </cfRule>
  </conditionalFormatting>
  <conditionalFormatting sqref="J13">
    <cfRule type="expression" dxfId="461" priority="25">
      <formula>H8="Two"</formula>
    </cfRule>
    <cfRule type="expression" dxfId="460" priority="114">
      <formula>OR(H8="Select Option",H8="One")</formula>
    </cfRule>
  </conditionalFormatting>
  <conditionalFormatting sqref="H14:I14">
    <cfRule type="expression" dxfId="459" priority="12">
      <formula>H8="Two"</formula>
    </cfRule>
    <cfRule type="expression" dxfId="458" priority="113">
      <formula>OR(H8="Select Option",H8="One")</formula>
    </cfRule>
  </conditionalFormatting>
  <conditionalFormatting sqref="J14">
    <cfRule type="expression" dxfId="457" priority="24">
      <formula>H8="Two"</formula>
    </cfRule>
    <cfRule type="expression" dxfId="456" priority="112">
      <formula>OR(H8="Select Option",H8="One")</formula>
    </cfRule>
  </conditionalFormatting>
  <conditionalFormatting sqref="H15:I15">
    <cfRule type="expression" dxfId="455" priority="11">
      <formula>H8="Two"</formula>
    </cfRule>
    <cfRule type="expression" dxfId="454" priority="111">
      <formula>OR(H8="Select Option",H8="One")</formula>
    </cfRule>
  </conditionalFormatting>
  <conditionalFormatting sqref="J15">
    <cfRule type="expression" dxfId="453" priority="23">
      <formula>H8="Two"</formula>
    </cfRule>
    <cfRule type="expression" dxfId="452" priority="110">
      <formula>OR(H8="Select Option",H8="One")</formula>
    </cfRule>
  </conditionalFormatting>
  <conditionalFormatting sqref="H16:I16">
    <cfRule type="expression" dxfId="451" priority="10">
      <formula>H8="Two"</formula>
    </cfRule>
    <cfRule type="expression" dxfId="450" priority="109">
      <formula>OR(H8="Select Option",H8="One")</formula>
    </cfRule>
  </conditionalFormatting>
  <conditionalFormatting sqref="J16">
    <cfRule type="expression" dxfId="449" priority="22">
      <formula>H8="Two"</formula>
    </cfRule>
    <cfRule type="expression" dxfId="448" priority="108">
      <formula>OR(H8="Select Option",H8="One")</formula>
    </cfRule>
  </conditionalFormatting>
  <conditionalFormatting sqref="H17:I17">
    <cfRule type="expression" dxfId="447" priority="9">
      <formula>H8="Two"</formula>
    </cfRule>
    <cfRule type="expression" dxfId="446" priority="107">
      <formula>OR(H8="Select Option",H8="One")</formula>
    </cfRule>
  </conditionalFormatting>
  <conditionalFormatting sqref="J17">
    <cfRule type="expression" dxfId="445" priority="21">
      <formula>H8="Two"</formula>
    </cfRule>
    <cfRule type="expression" dxfId="444" priority="106">
      <formula>OR(H8="Select Option",H8="One")</formula>
    </cfRule>
  </conditionalFormatting>
  <conditionalFormatting sqref="H18:I18">
    <cfRule type="expression" dxfId="443" priority="8">
      <formula>H8="Two"</formula>
    </cfRule>
    <cfRule type="expression" dxfId="442" priority="105">
      <formula>OR(H8="Select Option",H8="One")</formula>
    </cfRule>
  </conditionalFormatting>
  <conditionalFormatting sqref="J18">
    <cfRule type="expression" dxfId="441" priority="20">
      <formula>H8="Two"</formula>
    </cfRule>
    <cfRule type="expression" dxfId="440" priority="104">
      <formula>OR(H8="Select Option",H8="One")</formula>
    </cfRule>
  </conditionalFormatting>
  <conditionalFormatting sqref="H19:I19">
    <cfRule type="expression" dxfId="439" priority="7">
      <formula>H8="Two"</formula>
    </cfRule>
    <cfRule type="expression" dxfId="438" priority="103">
      <formula>OR(H8="Select Option",H8="One")</formula>
    </cfRule>
  </conditionalFormatting>
  <conditionalFormatting sqref="J19">
    <cfRule type="expression" dxfId="437" priority="19">
      <formula>H8="Two"</formula>
    </cfRule>
    <cfRule type="expression" dxfId="436" priority="102">
      <formula>OR(H8="Select Option",H8="One")</formula>
    </cfRule>
  </conditionalFormatting>
  <conditionalFormatting sqref="H20:I20">
    <cfRule type="expression" dxfId="435" priority="6">
      <formula>H8="Two"</formula>
    </cfRule>
    <cfRule type="expression" dxfId="434" priority="101">
      <formula>OR(H8="Select Option",H8="One")</formula>
    </cfRule>
  </conditionalFormatting>
  <conditionalFormatting sqref="J20">
    <cfRule type="expression" dxfId="433" priority="18">
      <formula>H8="Two"</formula>
    </cfRule>
    <cfRule type="expression" dxfId="432" priority="100">
      <formula>OR(H8="Select Option",H8="One")</formula>
    </cfRule>
  </conditionalFormatting>
  <conditionalFormatting sqref="H21:I21">
    <cfRule type="expression" dxfId="431" priority="5">
      <formula>H8="Two"</formula>
    </cfRule>
    <cfRule type="expression" dxfId="430" priority="99">
      <formula>OR(H8="Select Option",H8="One")</formula>
    </cfRule>
  </conditionalFormatting>
  <conditionalFormatting sqref="J21">
    <cfRule type="expression" dxfId="429" priority="17">
      <formula>H8="Two"</formula>
    </cfRule>
    <cfRule type="expression" dxfId="428" priority="98">
      <formula>OR(H8="Select Option",H8="One")</formula>
    </cfRule>
  </conditionalFormatting>
  <conditionalFormatting sqref="H22:I22">
    <cfRule type="expression" dxfId="427" priority="4">
      <formula>H8="Two"</formula>
    </cfRule>
    <cfRule type="expression" dxfId="426" priority="97">
      <formula>OR(H8="Select Option",H8="One")</formula>
    </cfRule>
  </conditionalFormatting>
  <conditionalFormatting sqref="J22">
    <cfRule type="expression" dxfId="425" priority="16">
      <formula>H8="Two"</formula>
    </cfRule>
    <cfRule type="expression" dxfId="424" priority="96">
      <formula>OR(H8="Select Option",H8="One")</formula>
    </cfRule>
  </conditionalFormatting>
  <conditionalFormatting sqref="H23:I23">
    <cfRule type="expression" dxfId="423" priority="3">
      <formula>H8="Two"</formula>
    </cfRule>
    <cfRule type="expression" dxfId="422" priority="95">
      <formula>OR(H8="Select Option",H8="One")</formula>
    </cfRule>
  </conditionalFormatting>
  <conditionalFormatting sqref="J23">
    <cfRule type="expression" dxfId="421" priority="15">
      <formula>H8="Two"</formula>
    </cfRule>
    <cfRule type="expression" dxfId="420" priority="94">
      <formula>OR(H8="Select Option",H8="One")</formula>
    </cfRule>
  </conditionalFormatting>
  <conditionalFormatting sqref="E25:F25">
    <cfRule type="expression" dxfId="419" priority="2">
      <formula>H8="Two"</formula>
    </cfRule>
    <cfRule type="expression" dxfId="418" priority="93">
      <formula>OR(H8="Select Option",H8="One")</formula>
    </cfRule>
  </conditionalFormatting>
  <conditionalFormatting sqref="G25">
    <cfRule type="expression" dxfId="417" priority="1">
      <formula>H8="Two"</formula>
    </cfRule>
    <cfRule type="expression" dxfId="416" priority="92">
      <formula>OR(H8="Select Option",H8="One")</formula>
    </cfRule>
  </conditionalFormatting>
  <conditionalFormatting sqref="E11:G11">
    <cfRule type="expression" dxfId="415" priority="91">
      <formula>OR(H8="Select Option",H8="Two")</formula>
    </cfRule>
  </conditionalFormatting>
  <conditionalFormatting sqref="E12:F12">
    <cfRule type="expression" dxfId="414" priority="90">
      <formula>OR(H8="Select Option",H8="Two")</formula>
    </cfRule>
  </conditionalFormatting>
  <conditionalFormatting sqref="G12">
    <cfRule type="expression" dxfId="413" priority="63">
      <formula>H8="One"</formula>
    </cfRule>
    <cfRule type="expression" dxfId="412" priority="89">
      <formula>OR(H8="Select Option",H8="Two")</formula>
    </cfRule>
  </conditionalFormatting>
  <conditionalFormatting sqref="E13:F13">
    <cfRule type="expression" dxfId="411" priority="64">
      <formula>H8="One"</formula>
    </cfRule>
    <cfRule type="expression" dxfId="410" priority="88">
      <formula>OR(H8="Select Option",H8="Two")</formula>
    </cfRule>
  </conditionalFormatting>
  <conditionalFormatting sqref="G13">
    <cfRule type="expression" dxfId="409" priority="61">
      <formula>H8="One"</formula>
    </cfRule>
    <cfRule type="expression" dxfId="408" priority="87">
      <formula>OR(H8="Select Option",H8="Two")</formula>
    </cfRule>
  </conditionalFormatting>
  <conditionalFormatting sqref="E14:F14">
    <cfRule type="expression" dxfId="407" priority="50">
      <formula>H8="One"</formula>
    </cfRule>
    <cfRule type="expression" dxfId="406" priority="86">
      <formula>OR(H8="Select Option",H8="Two")</formula>
    </cfRule>
  </conditionalFormatting>
  <conditionalFormatting sqref="G14">
    <cfRule type="expression" dxfId="405" priority="62">
      <formula>H8="One"</formula>
    </cfRule>
    <cfRule type="expression" dxfId="404" priority="85">
      <formula>OR(H8="Select Option",H8="Two")</formula>
    </cfRule>
  </conditionalFormatting>
  <conditionalFormatting sqref="E15:F15">
    <cfRule type="expression" dxfId="403" priority="49">
      <formula>H8="One"</formula>
    </cfRule>
    <cfRule type="expression" dxfId="402" priority="84">
      <formula>OR(H8="Select Option",H8="Two")</formula>
    </cfRule>
  </conditionalFormatting>
  <conditionalFormatting sqref="G15">
    <cfRule type="expression" dxfId="401" priority="60">
      <formula>H8="One"</formula>
    </cfRule>
    <cfRule type="expression" dxfId="400" priority="83">
      <formula>OR(H8="Select Option",H8="Two")</formula>
    </cfRule>
  </conditionalFormatting>
  <conditionalFormatting sqref="E16:F16">
    <cfRule type="expression" dxfId="399" priority="48">
      <formula>H8="One"</formula>
    </cfRule>
    <cfRule type="expression" dxfId="398" priority="82">
      <formula>OR(H8="Select Option",H8="Two")</formula>
    </cfRule>
  </conditionalFormatting>
  <conditionalFormatting sqref="G16">
    <cfRule type="expression" dxfId="397" priority="59">
      <formula>H8="One"</formula>
    </cfRule>
    <cfRule type="expression" dxfId="396" priority="81">
      <formula>OR(H8="Select Option",H8="Two")</formula>
    </cfRule>
  </conditionalFormatting>
  <conditionalFormatting sqref="E17:F17">
    <cfRule type="expression" dxfId="395" priority="47">
      <formula>H8="One"</formula>
    </cfRule>
    <cfRule type="expression" dxfId="394" priority="80">
      <formula>OR(H8="Select Option",H8="Two")</formula>
    </cfRule>
  </conditionalFormatting>
  <conditionalFormatting sqref="G17">
    <cfRule type="expression" dxfId="393" priority="58">
      <formula>H8="One"</formula>
    </cfRule>
    <cfRule type="expression" dxfId="392" priority="79">
      <formula>OR(H8="Select Option",H8="Two")</formula>
    </cfRule>
  </conditionalFormatting>
  <conditionalFormatting sqref="E18:F18">
    <cfRule type="expression" dxfId="391" priority="46">
      <formula>H8="One"</formula>
    </cfRule>
    <cfRule type="expression" dxfId="390" priority="78">
      <formula>OR(H8="Select Option",H8="Two")</formula>
    </cfRule>
  </conditionalFormatting>
  <conditionalFormatting sqref="G18">
    <cfRule type="expression" dxfId="389" priority="57">
      <formula>H8="One"</formula>
    </cfRule>
    <cfRule type="expression" dxfId="388" priority="77">
      <formula>OR(H8="Select Option",H8="Two")</formula>
    </cfRule>
  </conditionalFormatting>
  <conditionalFormatting sqref="E19:F19">
    <cfRule type="expression" dxfId="387" priority="45">
      <formula>H8="One"</formula>
    </cfRule>
    <cfRule type="expression" dxfId="386" priority="76">
      <formula>OR(H8="Select Option",H8="Two")</formula>
    </cfRule>
  </conditionalFormatting>
  <conditionalFormatting sqref="G19">
    <cfRule type="expression" dxfId="385" priority="56">
      <formula>H8="One"</formula>
    </cfRule>
    <cfRule type="expression" dxfId="384" priority="75">
      <formula>OR(H8="Select Option",H8="Two")</formula>
    </cfRule>
  </conditionalFormatting>
  <conditionalFormatting sqref="E20:F20">
    <cfRule type="expression" dxfId="383" priority="44">
      <formula>H8="One"</formula>
    </cfRule>
    <cfRule type="expression" dxfId="382" priority="74">
      <formula>OR(H8="Select Option",H8="Two")</formula>
    </cfRule>
  </conditionalFormatting>
  <conditionalFormatting sqref="G20">
    <cfRule type="expression" dxfId="381" priority="55">
      <formula>H8="One"</formula>
    </cfRule>
    <cfRule type="expression" dxfId="380" priority="73">
      <formula>OR(H8="Select Option",H8="Two")</formula>
    </cfRule>
  </conditionalFormatting>
  <conditionalFormatting sqref="E21:F21">
    <cfRule type="expression" dxfId="379" priority="43">
      <formula>H8="One"</formula>
    </cfRule>
    <cfRule type="expression" dxfId="378" priority="72">
      <formula>OR(H8="Select Option",H8="Two")</formula>
    </cfRule>
  </conditionalFormatting>
  <conditionalFormatting sqref="G21">
    <cfRule type="expression" dxfId="377" priority="54">
      <formula>H8="One"</formula>
    </cfRule>
    <cfRule type="expression" dxfId="376" priority="71">
      <formula>OR(H8="Select Option",H8="Two")</formula>
    </cfRule>
  </conditionalFormatting>
  <conditionalFormatting sqref="E22:F22">
    <cfRule type="expression" dxfId="375" priority="42">
      <formula>H8="One"</formula>
    </cfRule>
    <cfRule type="expression" dxfId="374" priority="70">
      <formula>OR(H8="Select Option",H8="Two")</formula>
    </cfRule>
  </conditionalFormatting>
  <conditionalFormatting sqref="G22">
    <cfRule type="expression" dxfId="373" priority="53">
      <formula>H8="One"</formula>
    </cfRule>
    <cfRule type="expression" dxfId="372" priority="69">
      <formula>OR(H8="Select Option",H8="Two")</formula>
    </cfRule>
  </conditionalFormatting>
  <conditionalFormatting sqref="E23:F23">
    <cfRule type="expression" dxfId="371" priority="41">
      <formula>H8="One"</formula>
    </cfRule>
    <cfRule type="expression" dxfId="370" priority="68">
      <formula>OR(H8="Select Option",H8="Two")</formula>
    </cfRule>
  </conditionalFormatting>
  <conditionalFormatting sqref="G23">
    <cfRule type="expression" dxfId="369" priority="52">
      <formula>H8="One"</formula>
    </cfRule>
    <cfRule type="expression" dxfId="368" priority="67">
      <formula>OR(H8="Select Option",H8="Two")</formula>
    </cfRule>
  </conditionalFormatting>
  <conditionalFormatting sqref="E26:F26">
    <cfRule type="expression" dxfId="367" priority="40">
      <formula>H8="One"</formula>
    </cfRule>
    <cfRule type="expression" dxfId="366" priority="66">
      <formula>OR(H8="Select Option",H8="Two")</formula>
    </cfRule>
  </conditionalFormatting>
  <conditionalFormatting sqref="G26">
    <cfRule type="expression" dxfId="365" priority="51">
      <formula>H8="One"</formula>
    </cfRule>
    <cfRule type="expression" dxfId="364" priority="65">
      <formula>OR(H8="Select Option",H8="Two")</formula>
    </cfRule>
  </conditionalFormatting>
  <conditionalFormatting sqref="D12">
    <cfRule type="expression" dxfId="363" priority="38">
      <formula>H8="Two"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locked="0" defaultSize="0" print="0" autoFill="0" autoPict="0" macro="[0]!PartnershipSCorp_Click">
                <anchor moveWithCells="1" sizeWithCells="1">
                  <from>
                    <xdr:col>9</xdr:col>
                    <xdr:colOff>704850</xdr:colOff>
                    <xdr:row>6</xdr:row>
                    <xdr:rowOff>180975</xdr:rowOff>
                  </from>
                  <to>
                    <xdr:col>10</xdr:col>
                    <xdr:colOff>619125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7F4323-6282-4EBC-8799-BA95F0647317}">
          <x14:formula1>
            <xm:f>Lists!$E$11:$E$13</xm:f>
          </x14:formula1>
          <xm:sqref>H9:I9</xm:sqref>
        </x14:dataValidation>
        <x14:dataValidation type="list" allowBlank="1" showInputMessage="1" showErrorMessage="1" xr:uid="{67484712-AD6F-49D1-9DDB-F7DB2B7B5CFB}">
          <x14:formula1>
            <xm:f>Lists!$C$11:$C$13</xm:f>
          </x14:formula1>
          <xm:sqref>H8:I8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A3A64-FE5F-42D8-BC9B-9F35AEDDA048}">
  <sheetPr codeName="Sheet10"/>
  <dimension ref="A1:XFC57"/>
  <sheetViews>
    <sheetView workbookViewId="0">
      <selection activeCell="G7" sqref="G7:I7"/>
    </sheetView>
  </sheetViews>
  <sheetFormatPr defaultColWidth="0" defaultRowHeight="14.25" zeroHeight="1"/>
  <cols>
    <col min="1" max="1" width="7.25" style="52" customWidth="1"/>
    <col min="2" max="2" width="25.875" style="52" customWidth="1"/>
    <col min="3" max="3" width="14.375" style="52" customWidth="1"/>
    <col min="4" max="4" width="13.375" style="52" customWidth="1"/>
    <col min="5" max="5" width="23.125" style="52" customWidth="1"/>
    <col min="6" max="6" width="17.25" style="52" customWidth="1"/>
    <col min="7" max="7" width="13" style="52" customWidth="1"/>
    <col min="8" max="8" width="11.375" style="52" customWidth="1"/>
    <col min="9" max="9" width="29" style="52" customWidth="1"/>
    <col min="10" max="10" width="12.25" style="52" customWidth="1"/>
    <col min="11" max="11" width="9.25" style="52" customWidth="1"/>
    <col min="12" max="12" width="5.25" style="52" customWidth="1"/>
    <col min="13" max="13" width="8.875" style="52" hidden="1" customWidth="1"/>
    <col min="14" max="17" width="7.625" hidden="1"/>
    <col min="18" max="18" width="12.625" hidden="1"/>
    <col min="19" max="16383" width="7.625" hidden="1"/>
    <col min="16384" max="16384" width="5.75" hidden="1"/>
  </cols>
  <sheetData>
    <row r="1" spans="1:23">
      <c r="A1" s="143" t="s">
        <v>57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R1" t="s">
        <v>556</v>
      </c>
      <c r="S1" t="s">
        <v>557</v>
      </c>
      <c r="T1" t="s">
        <v>558</v>
      </c>
      <c r="U1" t="s">
        <v>559</v>
      </c>
      <c r="V1" t="s">
        <v>560</v>
      </c>
    </row>
    <row r="2" spans="1:23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O2" s="137">
        <f ca="1">TODAY()</f>
        <v>45022</v>
      </c>
      <c r="R2" s="137">
        <f ca="1">DATE(YEAR(O2),4,18)</f>
        <v>45034</v>
      </c>
      <c r="S2" s="137">
        <f ca="1">DATE(YEAR(O2),10,15)</f>
        <v>45214</v>
      </c>
      <c r="T2" t="str">
        <f ca="1">IF(MONTH(O2)&gt;=4,"Yes","No")</f>
        <v>Yes</v>
      </c>
      <c r="U2" t="str">
        <f ca="1">IF(AND(O2&gt;R2,O2&lt;=S2),"Yes","No")</f>
        <v>No</v>
      </c>
      <c r="V2" t="str">
        <f ca="1">IF(O2&gt;DATE(YEAR(O2),10,15),"Yes","No")</f>
        <v>No</v>
      </c>
    </row>
    <row r="3" spans="1:23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23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T4" t="s">
        <v>561</v>
      </c>
      <c r="U4">
        <f ca="1">YEAR(O2)-1</f>
        <v>2022</v>
      </c>
      <c r="W4" t="s">
        <v>566</v>
      </c>
    </row>
    <row r="5" spans="1:23">
      <c r="A5" s="218" t="s">
        <v>155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T5" t="s">
        <v>562</v>
      </c>
      <c r="U5">
        <f ca="1">YEAR(O2)-2</f>
        <v>2021</v>
      </c>
      <c r="W5" t="s">
        <v>567</v>
      </c>
    </row>
    <row r="6" spans="1:2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T6" t="s">
        <v>563</v>
      </c>
      <c r="U6">
        <f ca="1">YEAR(O2)-3</f>
        <v>2020</v>
      </c>
    </row>
    <row r="7" spans="1:23">
      <c r="A7" s="49"/>
      <c r="B7" s="49"/>
      <c r="C7" s="49"/>
      <c r="D7" s="201" t="s">
        <v>0</v>
      </c>
      <c r="E7" s="202"/>
      <c r="F7" s="235"/>
      <c r="G7" s="155"/>
      <c r="H7" s="156"/>
      <c r="I7" s="157"/>
      <c r="J7" s="49"/>
      <c r="K7" s="49"/>
      <c r="L7" s="49"/>
      <c r="M7" s="49"/>
    </row>
    <row r="8" spans="1:23">
      <c r="A8" s="49"/>
      <c r="B8" s="49"/>
      <c r="C8" s="49"/>
      <c r="D8" s="198" t="s">
        <v>33</v>
      </c>
      <c r="E8" s="199"/>
      <c r="F8" s="199"/>
      <c r="G8" s="236"/>
      <c r="H8" s="237" t="s">
        <v>29</v>
      </c>
      <c r="I8" s="238"/>
      <c r="J8" s="49"/>
      <c r="K8" s="49"/>
      <c r="L8" s="49"/>
      <c r="M8" s="49"/>
      <c r="T8" t="s">
        <v>564</v>
      </c>
      <c r="U8" t="str">
        <f ca="1">IF(AND(O2&gt;R2,H10="No"),"Yes","No")</f>
        <v>No</v>
      </c>
    </row>
    <row r="9" spans="1:23" ht="18" hidden="1">
      <c r="A9" s="49"/>
      <c r="B9" s="49"/>
      <c r="C9" s="49"/>
      <c r="D9" s="239" t="s">
        <v>45</v>
      </c>
      <c r="E9" s="239"/>
      <c r="F9" s="239"/>
      <c r="G9" s="239"/>
      <c r="H9" s="240" t="s">
        <v>29</v>
      </c>
      <c r="I9" s="240"/>
      <c r="J9" s="49"/>
      <c r="K9" s="49"/>
      <c r="L9" s="49"/>
      <c r="M9" s="49"/>
      <c r="T9" t="s">
        <v>565</v>
      </c>
      <c r="U9" t="str">
        <f ca="1">IF(O2&gt;S2,"Yes","No")</f>
        <v>No</v>
      </c>
    </row>
    <row r="10" spans="1:23">
      <c r="A10" s="49"/>
      <c r="B10" s="49"/>
      <c r="C10" s="49"/>
      <c r="D10" s="153" t="str">
        <f ca="1">"Has the borrower filed their "&amp;YEAR(O2)-1&amp;" taxes?"</f>
        <v>Has the borrower filed their 2022 taxes?</v>
      </c>
      <c r="E10" s="184"/>
      <c r="F10" s="184"/>
      <c r="G10" s="166"/>
      <c r="H10" s="209" t="s">
        <v>29</v>
      </c>
      <c r="I10" s="210"/>
      <c r="J10" s="49"/>
      <c r="K10" s="49"/>
      <c r="L10" s="49"/>
      <c r="M10" s="49"/>
    </row>
    <row r="11" spans="1:23">
      <c r="A11" s="49"/>
      <c r="B11" s="49"/>
      <c r="C11" s="49"/>
      <c r="D11" s="153" t="str">
        <f ca="1">"Is there evidence the borrower filed an extension for "&amp;YEAR(O2)-1&amp;"?"</f>
        <v>Is there evidence the borrower filed an extension for 2022?</v>
      </c>
      <c r="E11" s="184"/>
      <c r="F11" s="184"/>
      <c r="G11" s="154"/>
      <c r="H11" s="211" t="s">
        <v>29</v>
      </c>
      <c r="I11" s="212"/>
      <c r="J11" s="49"/>
      <c r="K11" s="49"/>
      <c r="L11" s="49"/>
      <c r="M11" s="49"/>
    </row>
    <row r="12" spans="1:23">
      <c r="A12" s="49"/>
      <c r="B12" s="213" t="str">
        <f ca="1">IF(U9="Yes",W4&amp;U5&amp;")",IF(AND(U2="Yes",U8="Yes",H11="Yes"),W4&amp;U6&amp;")",IF(AND(U2="Yes",H10="Select Option"),"",IF(AND(U2="Yes",U8="Yes",H11="No"),W4&amp;U5&amp;")",IF(AND(U2="Yes",U8="No"),W4&amp;U5&amp;")",IF(AND(U2="No",U9="No",H10="No"),W4&amp;U6&amp;")",IF(AND(U2="No",U9="No",H10="Yes"),W4&amp;U5&amp;")","")))))))</f>
        <v/>
      </c>
      <c r="C12" s="214"/>
      <c r="D12" s="215"/>
      <c r="E12" s="180" t="str">
        <f ca="1">IF(U9="Yes",W5&amp;U4&amp;")",IF(AND(U2="Yes",U8="Yes",H11="Yes"),W5&amp;U5&amp;")",IF(AND(U2="Yes",H10="Select Option"),"",IF(AND(U2="Yes",U8="Yes",H11="No"),W5&amp;U4&amp;")",IF(AND(U2="Yes",U8="No"),W5&amp;U4&amp;")",IF(AND(U2="No",U9="No",H10="No"),W5&amp;U5&amp;")",IF(AND(U2="No",U9="No",H10="Yes"),W5&amp;U4&amp;")","")))))))</f>
        <v/>
      </c>
      <c r="F12" s="180"/>
      <c r="G12" s="216"/>
      <c r="H12" s="217" t="str">
        <f ca="1">IF(U9="Yes",W5&amp;U4&amp;")",IF(AND(U2="Yes",U8="Yes",H11="Yes"),W5&amp;U5&amp;")",IF(AND(U2="Yes",H10="Select Option"),"",IF(AND(U2="Yes",U8="Yes",H11="No"),W5&amp;U4&amp;")",IF(AND(U2="Yes",U8="No"),W5&amp;U4&amp;")",IF(AND(U2="No",U9="No",H10="No"),W5&amp;U5&amp;")",IF(AND(U2="No",U9="No",H10="Yes"),W5&amp;U4&amp;")","")))))))</f>
        <v/>
      </c>
      <c r="I12" s="217"/>
      <c r="J12" s="217"/>
      <c r="K12" s="49"/>
      <c r="L12" s="49"/>
      <c r="M12" s="49"/>
    </row>
    <row r="13" spans="1:23">
      <c r="A13" s="49"/>
      <c r="B13" s="205" t="s">
        <v>184</v>
      </c>
      <c r="C13" s="186"/>
      <c r="D13" s="132"/>
      <c r="E13" s="153" t="s">
        <v>184</v>
      </c>
      <c r="F13" s="166"/>
      <c r="G13" s="129"/>
      <c r="H13" s="204" t="s">
        <v>184</v>
      </c>
      <c r="I13" s="204"/>
      <c r="J13" s="128"/>
      <c r="K13" s="49"/>
      <c r="L13" s="49"/>
      <c r="M13" s="49"/>
    </row>
    <row r="14" spans="1:23">
      <c r="A14" s="49"/>
      <c r="B14" s="153" t="s">
        <v>35</v>
      </c>
      <c r="C14" s="166"/>
      <c r="D14" s="130"/>
      <c r="E14" s="204" t="s">
        <v>35</v>
      </c>
      <c r="F14" s="204"/>
      <c r="G14" s="75"/>
      <c r="H14" s="194" t="s">
        <v>35</v>
      </c>
      <c r="I14" s="194"/>
      <c r="J14" s="75"/>
      <c r="K14" s="49"/>
      <c r="L14" s="49"/>
      <c r="M14" s="49"/>
      <c r="P14" s="3" t="s">
        <v>156</v>
      </c>
      <c r="Q14" s="3"/>
    </row>
    <row r="15" spans="1:23">
      <c r="A15" s="49"/>
      <c r="B15" s="153" t="s">
        <v>203</v>
      </c>
      <c r="C15" s="166"/>
      <c r="D15" s="131"/>
      <c r="E15" s="194" t="s">
        <v>203</v>
      </c>
      <c r="F15" s="194"/>
      <c r="G15" s="74"/>
      <c r="H15" s="194" t="s">
        <v>203</v>
      </c>
      <c r="I15" s="194"/>
      <c r="J15" s="74"/>
      <c r="K15" s="49"/>
      <c r="L15" s="49"/>
      <c r="M15" s="49"/>
      <c r="P15" s="3">
        <f>(((G17-G15-G16+G18+G19+G20-G21-G22-G23+G24)*G14)+G13)/12</f>
        <v>0</v>
      </c>
    </row>
    <row r="16" spans="1:23">
      <c r="A16" s="49"/>
      <c r="B16" s="153" t="s">
        <v>204</v>
      </c>
      <c r="C16" s="166"/>
      <c r="D16" s="131"/>
      <c r="E16" s="194" t="s">
        <v>204</v>
      </c>
      <c r="F16" s="194"/>
      <c r="G16" s="74"/>
      <c r="H16" s="194" t="s">
        <v>204</v>
      </c>
      <c r="I16" s="194"/>
      <c r="J16" s="74"/>
      <c r="K16" s="49"/>
      <c r="L16" s="49"/>
      <c r="M16" s="49"/>
    </row>
    <row r="17" spans="1:18">
      <c r="A17" s="49"/>
      <c r="B17" s="153" t="s">
        <v>205</v>
      </c>
      <c r="C17" s="166"/>
      <c r="D17" s="131"/>
      <c r="E17" s="194" t="s">
        <v>205</v>
      </c>
      <c r="F17" s="194"/>
      <c r="G17" s="74"/>
      <c r="H17" s="194" t="s">
        <v>205</v>
      </c>
      <c r="I17" s="194"/>
      <c r="J17" s="74"/>
      <c r="K17" s="49"/>
      <c r="L17" s="49"/>
      <c r="M17" s="49"/>
      <c r="P17" t="s">
        <v>162</v>
      </c>
      <c r="Q17" s="3"/>
    </row>
    <row r="18" spans="1:18">
      <c r="A18" s="49"/>
      <c r="B18" s="153" t="s">
        <v>206</v>
      </c>
      <c r="C18" s="166"/>
      <c r="D18" s="131"/>
      <c r="E18" s="194" t="s">
        <v>206</v>
      </c>
      <c r="F18" s="194"/>
      <c r="G18" s="74"/>
      <c r="H18" s="194" t="s">
        <v>206</v>
      </c>
      <c r="I18" s="194"/>
      <c r="J18" s="74"/>
      <c r="K18" s="49"/>
      <c r="L18" s="49"/>
      <c r="M18" s="49"/>
      <c r="P18" s="3">
        <f>((((D17-D15-D16+D18+D19+D20-D21-D22-D23+D24)*D14)+D13)/12)</f>
        <v>0</v>
      </c>
    </row>
    <row r="19" spans="1:18">
      <c r="A19" s="49"/>
      <c r="B19" s="153" t="s">
        <v>207</v>
      </c>
      <c r="C19" s="166"/>
      <c r="D19" s="131"/>
      <c r="E19" s="194" t="s">
        <v>207</v>
      </c>
      <c r="F19" s="194"/>
      <c r="G19" s="74"/>
      <c r="H19" s="194" t="s">
        <v>207</v>
      </c>
      <c r="I19" s="194"/>
      <c r="J19" s="74"/>
      <c r="K19" s="49"/>
      <c r="L19" s="49"/>
      <c r="M19" s="49"/>
      <c r="P19" t="s">
        <v>26</v>
      </c>
    </row>
    <row r="20" spans="1:18">
      <c r="A20" s="49"/>
      <c r="B20" s="153" t="s">
        <v>208</v>
      </c>
      <c r="C20" s="166"/>
      <c r="D20" s="131"/>
      <c r="E20" s="194" t="s">
        <v>208</v>
      </c>
      <c r="F20" s="194"/>
      <c r="G20" s="74"/>
      <c r="H20" s="194" t="s">
        <v>208</v>
      </c>
      <c r="I20" s="194"/>
      <c r="J20" s="74"/>
      <c r="K20" s="49"/>
      <c r="L20" s="49"/>
      <c r="M20" s="49"/>
      <c r="P20" s="3">
        <f>((((J17-J15-J16+J18+J19+J20-J21-J22-J23+J24)*J14)+J13)/12)</f>
        <v>0</v>
      </c>
      <c r="Q20" s="3"/>
    </row>
    <row r="21" spans="1:18">
      <c r="A21" s="49"/>
      <c r="B21" s="153" t="s">
        <v>209</v>
      </c>
      <c r="C21" s="166"/>
      <c r="D21" s="131"/>
      <c r="E21" s="194" t="s">
        <v>209</v>
      </c>
      <c r="F21" s="194"/>
      <c r="G21" s="74"/>
      <c r="H21" s="194" t="s">
        <v>209</v>
      </c>
      <c r="I21" s="194"/>
      <c r="J21" s="74"/>
      <c r="K21" s="49"/>
      <c r="L21" s="49"/>
      <c r="M21" s="49"/>
      <c r="P21" t="s">
        <v>157</v>
      </c>
    </row>
    <row r="22" spans="1:18">
      <c r="A22" s="49"/>
      <c r="B22" s="153" t="s">
        <v>201</v>
      </c>
      <c r="C22" s="166"/>
      <c r="D22" s="131"/>
      <c r="E22" s="194" t="s">
        <v>201</v>
      </c>
      <c r="F22" s="194"/>
      <c r="G22" s="74"/>
      <c r="H22" s="194" t="s">
        <v>201</v>
      </c>
      <c r="I22" s="194"/>
      <c r="J22" s="74"/>
      <c r="K22" s="49"/>
      <c r="L22" s="49"/>
      <c r="M22" s="49"/>
      <c r="P22" s="3">
        <f>(P18+P20)/2</f>
        <v>0</v>
      </c>
    </row>
    <row r="23" spans="1:18">
      <c r="A23" s="49"/>
      <c r="B23" s="153" t="s">
        <v>210</v>
      </c>
      <c r="C23" s="166"/>
      <c r="D23" s="131"/>
      <c r="E23" s="194" t="s">
        <v>210</v>
      </c>
      <c r="F23" s="194"/>
      <c r="G23" s="74"/>
      <c r="H23" s="194" t="s">
        <v>210</v>
      </c>
      <c r="I23" s="194"/>
      <c r="J23" s="74"/>
      <c r="K23" s="49"/>
      <c r="L23" s="49"/>
      <c r="M23" s="49"/>
      <c r="Q23" s="3"/>
    </row>
    <row r="24" spans="1:18">
      <c r="A24" s="49"/>
      <c r="B24" s="153" t="s">
        <v>43</v>
      </c>
      <c r="C24" s="166"/>
      <c r="D24" s="131"/>
      <c r="E24" s="194" t="s">
        <v>43</v>
      </c>
      <c r="F24" s="194"/>
      <c r="G24" s="74"/>
      <c r="H24" s="194" t="s">
        <v>43</v>
      </c>
      <c r="I24" s="194"/>
      <c r="J24" s="74"/>
      <c r="K24" s="49"/>
      <c r="L24" s="49"/>
      <c r="M24" s="49"/>
    </row>
    <row r="25" spans="1:18">
      <c r="A25" s="49"/>
      <c r="B25" s="187" t="s">
        <v>174</v>
      </c>
      <c r="C25" s="187"/>
      <c r="D25" s="234"/>
      <c r="E25" s="206" t="s">
        <v>174</v>
      </c>
      <c r="F25" s="206"/>
      <c r="G25" s="206"/>
      <c r="H25" s="234" t="s">
        <v>175</v>
      </c>
      <c r="I25" s="234"/>
      <c r="J25" s="234"/>
      <c r="K25" s="49"/>
      <c r="L25" s="49"/>
      <c r="M25" s="49"/>
    </row>
    <row r="26" spans="1:18">
      <c r="A26" s="49"/>
      <c r="B26" s="49"/>
      <c r="C26" s="49"/>
      <c r="D26" s="49"/>
      <c r="E26" s="194" t="s">
        <v>7</v>
      </c>
      <c r="F26" s="194"/>
      <c r="G26" s="72">
        <f>IF(P20&lt;P18,P20,P22)</f>
        <v>0</v>
      </c>
      <c r="H26" s="49"/>
      <c r="I26" s="49"/>
      <c r="J26" s="49"/>
      <c r="K26" s="49"/>
      <c r="L26" s="49"/>
      <c r="M26" s="49"/>
      <c r="P26" s="3"/>
      <c r="Q26" s="3"/>
    </row>
    <row r="27" spans="1:18">
      <c r="A27" s="49"/>
      <c r="B27" s="49"/>
      <c r="C27" s="49"/>
      <c r="D27" s="49"/>
      <c r="E27" s="194" t="s">
        <v>7</v>
      </c>
      <c r="F27" s="194"/>
      <c r="G27" s="73">
        <f>(((G17-G15-G16+G18+G19+G20-G21-G22-G23+G24)*G14)+G13)/12</f>
        <v>0</v>
      </c>
      <c r="H27" s="49"/>
      <c r="I27" s="49"/>
      <c r="J27" s="49"/>
      <c r="K27" s="49"/>
      <c r="L27" s="49"/>
      <c r="M27" s="49"/>
    </row>
    <row r="28" spans="1:18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  <row r="29" spans="1:18">
      <c r="A29" s="158" t="s">
        <v>553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P29" s="3"/>
      <c r="Q29" s="3"/>
      <c r="R29" s="3"/>
    </row>
    <row r="30" spans="1:18" hidden="1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49"/>
      <c r="M30" s="49"/>
    </row>
    <row r="31" spans="1:18" hidden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P31" s="3"/>
      <c r="Q31" s="3"/>
      <c r="R31" s="3"/>
    </row>
    <row r="32" spans="1:18" hidden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3" spans="1:13" hidden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1:13" hidden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1:13" hidden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</row>
    <row r="36" spans="1:13" hidden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 hidden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hidden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</row>
    <row r="39" spans="1:13" hidden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</row>
    <row r="40" spans="1:13" hidden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13" hidden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</row>
    <row r="42" spans="1:13" hidden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13" hidden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</row>
    <row r="44" spans="1:13" hidden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</row>
    <row r="45" spans="1:13" hidden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</row>
    <row r="46" spans="1:13" hidden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</row>
    <row r="47" spans="1:13" hidden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hidden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</row>
    <row r="49" spans="1:13" hidden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</row>
    <row r="50" spans="1:13" hidden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</row>
    <row r="51" spans="1:13" hidden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</row>
    <row r="52" spans="1:13" hidden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</row>
    <row r="53" spans="1:13" hidden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3" hidden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</row>
    <row r="55" spans="1:13" hidden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</row>
    <row r="56" spans="1:13" hidden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</row>
    <row r="57" spans="1:13" hidden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</sheetData>
  <sheetProtection algorithmName="SHA-512" hashValue="mto/OBfw23AEbuWNAvpo8pAtHR4Y5hoa235ZEMwToxksFEq9LvkCoFtoHa9EpET0N57fYweLfCpm5UZAA4o9ig==" saltValue="nKe9N/ZDXV+SoHFh2FMR8w==" spinCount="100000" sheet="1" selectLockedCells="1"/>
  <mergeCells count="58">
    <mergeCell ref="B13:C13"/>
    <mergeCell ref="E13:F13"/>
    <mergeCell ref="H13:I13"/>
    <mergeCell ref="A1:M4"/>
    <mergeCell ref="A5:M5"/>
    <mergeCell ref="D7:F7"/>
    <mergeCell ref="G7:I7"/>
    <mergeCell ref="D8:G8"/>
    <mergeCell ref="H8:I8"/>
    <mergeCell ref="D9:G9"/>
    <mergeCell ref="H9:I9"/>
    <mergeCell ref="B12:D12"/>
    <mergeCell ref="E12:G12"/>
    <mergeCell ref="H12:J12"/>
    <mergeCell ref="D10:G10"/>
    <mergeCell ref="D11:G11"/>
    <mergeCell ref="B14:C14"/>
    <mergeCell ref="E14:F14"/>
    <mergeCell ref="H14:I14"/>
    <mergeCell ref="B15:C15"/>
    <mergeCell ref="E15:F15"/>
    <mergeCell ref="H15:I15"/>
    <mergeCell ref="B16:C16"/>
    <mergeCell ref="E16:F16"/>
    <mergeCell ref="H16:I16"/>
    <mergeCell ref="B17:C17"/>
    <mergeCell ref="E17:F17"/>
    <mergeCell ref="H17:I17"/>
    <mergeCell ref="B18:C18"/>
    <mergeCell ref="E18:F18"/>
    <mergeCell ref="H18:I18"/>
    <mergeCell ref="B19:C19"/>
    <mergeCell ref="E19:F19"/>
    <mergeCell ref="H19:I19"/>
    <mergeCell ref="H25:J25"/>
    <mergeCell ref="A29:M29"/>
    <mergeCell ref="B20:C20"/>
    <mergeCell ref="E20:F20"/>
    <mergeCell ref="H20:I20"/>
    <mergeCell ref="B21:C21"/>
    <mergeCell ref="E21:F21"/>
    <mergeCell ref="H21:I21"/>
    <mergeCell ref="H10:I10"/>
    <mergeCell ref="H11:I11"/>
    <mergeCell ref="A30:K30"/>
    <mergeCell ref="B22:C22"/>
    <mergeCell ref="E22:F22"/>
    <mergeCell ref="H22:I22"/>
    <mergeCell ref="B23:C23"/>
    <mergeCell ref="E23:F23"/>
    <mergeCell ref="H23:I23"/>
    <mergeCell ref="B24:C24"/>
    <mergeCell ref="E24:F24"/>
    <mergeCell ref="H24:I24"/>
    <mergeCell ref="E26:F26"/>
    <mergeCell ref="E27:F27"/>
    <mergeCell ref="E25:G25"/>
    <mergeCell ref="B25:D25"/>
  </mergeCells>
  <conditionalFormatting sqref="B13:D13">
    <cfRule type="expression" dxfId="362" priority="178">
      <formula>OR(H8="Select Option",H8="One")</formula>
    </cfRule>
  </conditionalFormatting>
  <conditionalFormatting sqref="B14:D14">
    <cfRule type="expression" dxfId="361" priority="177">
      <formula>OR(H8="Select Option",H8="One")</formula>
    </cfRule>
  </conditionalFormatting>
  <conditionalFormatting sqref="D14">
    <cfRule type="expression" dxfId="360" priority="74">
      <formula>H8="Two"</formula>
    </cfRule>
    <cfRule type="expression" dxfId="359" priority="176">
      <formula>OR(H8="Select Option",H8="One")</formula>
    </cfRule>
  </conditionalFormatting>
  <conditionalFormatting sqref="B15:C15">
    <cfRule type="expression" dxfId="358" priority="175">
      <formula>OR(H8="Select Option",H8="One")</formula>
    </cfRule>
  </conditionalFormatting>
  <conditionalFormatting sqref="D15">
    <cfRule type="expression" dxfId="357" priority="73">
      <formula>H8="Two"</formula>
    </cfRule>
    <cfRule type="expression" dxfId="356" priority="174">
      <formula>OR(H8="Select Option",H8="One")</formula>
    </cfRule>
  </conditionalFormatting>
  <conditionalFormatting sqref="B16:C16">
    <cfRule type="expression" dxfId="355" priority="173">
      <formula>OR(H8="Select Option",H8="One")</formula>
    </cfRule>
  </conditionalFormatting>
  <conditionalFormatting sqref="D16">
    <cfRule type="expression" dxfId="354" priority="72">
      <formula>H8="Two"</formula>
    </cfRule>
    <cfRule type="expression" dxfId="353" priority="172">
      <formula>OR(H8="Select Option",H8="One")</formula>
    </cfRule>
  </conditionalFormatting>
  <conditionalFormatting sqref="B17:C17">
    <cfRule type="expression" dxfId="352" priority="171">
      <formula>OR(H8="Select Option",H8="One")</formula>
    </cfRule>
  </conditionalFormatting>
  <conditionalFormatting sqref="D17">
    <cfRule type="expression" dxfId="351" priority="71">
      <formula>H8="Two"</formula>
    </cfRule>
    <cfRule type="expression" dxfId="350" priority="170">
      <formula>OR(H8="Select Option",H8="One")</formula>
    </cfRule>
  </conditionalFormatting>
  <conditionalFormatting sqref="B18:C18">
    <cfRule type="expression" dxfId="349" priority="169">
      <formula>OR(H8="Select Option",H8="One")</formula>
    </cfRule>
  </conditionalFormatting>
  <conditionalFormatting sqref="D18">
    <cfRule type="expression" dxfId="348" priority="70">
      <formula>H8="Two"</formula>
    </cfRule>
    <cfRule type="expression" dxfId="347" priority="168">
      <formula>OR(H8="Select Option",H8="One")</formula>
    </cfRule>
  </conditionalFormatting>
  <conditionalFormatting sqref="B19:C19">
    <cfRule type="expression" dxfId="346" priority="167">
      <formula>OR(H8="Select Option",H8="One")</formula>
    </cfRule>
  </conditionalFormatting>
  <conditionalFormatting sqref="D19">
    <cfRule type="expression" dxfId="345" priority="69">
      <formula>H8="Two"</formula>
    </cfRule>
    <cfRule type="expression" dxfId="344" priority="166">
      <formula>OR(H8="Select Option",H8="One")</formula>
    </cfRule>
  </conditionalFormatting>
  <conditionalFormatting sqref="B20:C20">
    <cfRule type="expression" dxfId="343" priority="165">
      <formula>OR(H8="Select Option",H8="One")</formula>
    </cfRule>
  </conditionalFormatting>
  <conditionalFormatting sqref="D20">
    <cfRule type="expression" dxfId="342" priority="68">
      <formula>H8="Two"</formula>
    </cfRule>
    <cfRule type="expression" dxfId="341" priority="164">
      <formula>OR(H8="Select Option",H8="One")</formula>
    </cfRule>
  </conditionalFormatting>
  <conditionalFormatting sqref="B21:C21">
    <cfRule type="expression" dxfId="340" priority="163">
      <formula>OR(H8="Select Option",H8="One")</formula>
    </cfRule>
  </conditionalFormatting>
  <conditionalFormatting sqref="D21">
    <cfRule type="expression" dxfId="339" priority="67">
      <formula>H8="Two"</formula>
    </cfRule>
    <cfRule type="expression" dxfId="338" priority="162">
      <formula>OR(H8="Select Option",H8="One")</formula>
    </cfRule>
  </conditionalFormatting>
  <conditionalFormatting sqref="B22:C22">
    <cfRule type="expression" dxfId="337" priority="161">
      <formula>OR(H8="Select Option",H8="One")</formula>
    </cfRule>
  </conditionalFormatting>
  <conditionalFormatting sqref="D22">
    <cfRule type="expression" dxfId="336" priority="66">
      <formula>H8="Two"</formula>
    </cfRule>
    <cfRule type="expression" dxfId="335" priority="160">
      <formula>OR(H8="Select Option",H8="One")</formula>
    </cfRule>
  </conditionalFormatting>
  <conditionalFormatting sqref="B23:C23">
    <cfRule type="expression" dxfId="334" priority="159">
      <formula>OR(H8="Select Option",H8="One")</formula>
    </cfRule>
  </conditionalFormatting>
  <conditionalFormatting sqref="D23">
    <cfRule type="expression" dxfId="333" priority="65">
      <formula>H8="Two"</formula>
    </cfRule>
    <cfRule type="expression" dxfId="332" priority="158">
      <formula>OR(H8="Select Option",H8="One")</formula>
    </cfRule>
  </conditionalFormatting>
  <conditionalFormatting sqref="B24:C24">
    <cfRule type="expression" dxfId="331" priority="157">
      <formula>OR(H8="Select Option",H8="One")</formula>
    </cfRule>
  </conditionalFormatting>
  <conditionalFormatting sqref="D24">
    <cfRule type="expression" dxfId="330" priority="64">
      <formula>H8="Two"</formula>
    </cfRule>
    <cfRule type="expression" dxfId="329" priority="156">
      <formula>OR(H8="Select Option",H8="One")</formula>
    </cfRule>
  </conditionalFormatting>
  <conditionalFormatting sqref="H13:I13">
    <cfRule type="expression" dxfId="328" priority="51">
      <formula>H8="Two"</formula>
    </cfRule>
    <cfRule type="expression" dxfId="327" priority="154">
      <formula>OR(H8="Select Option",H8="One")</formula>
    </cfRule>
  </conditionalFormatting>
  <conditionalFormatting sqref="J13">
    <cfRule type="expression" dxfId="326" priority="63">
      <formula>H8="Two"</formula>
    </cfRule>
    <cfRule type="expression" dxfId="325" priority="153">
      <formula>OR(H8="Select Option",H8="One")</formula>
    </cfRule>
  </conditionalFormatting>
  <conditionalFormatting sqref="H14:I14">
    <cfRule type="expression" dxfId="324" priority="50">
      <formula>H8="Two"</formula>
    </cfRule>
    <cfRule type="expression" dxfId="323" priority="152">
      <formula>OR(H8="Select Option",H8="One")</formula>
    </cfRule>
  </conditionalFormatting>
  <conditionalFormatting sqref="J14">
    <cfRule type="expression" dxfId="322" priority="62">
      <formula>H8="Two"</formula>
    </cfRule>
    <cfRule type="expression" dxfId="321" priority="151">
      <formula>OR(H8="Select Option",H8="One")</formula>
    </cfRule>
  </conditionalFormatting>
  <conditionalFormatting sqref="H15:I15">
    <cfRule type="expression" dxfId="320" priority="49">
      <formula>H8="Two"</formula>
    </cfRule>
    <cfRule type="expression" dxfId="319" priority="150">
      <formula>OR(H8="Select Option",H8="One")</formula>
    </cfRule>
  </conditionalFormatting>
  <conditionalFormatting sqref="J15">
    <cfRule type="expression" dxfId="318" priority="61">
      <formula>H8="Two"</formula>
    </cfRule>
    <cfRule type="expression" dxfId="317" priority="149">
      <formula>OR(H8="Select Option",H8="One")</formula>
    </cfRule>
  </conditionalFormatting>
  <conditionalFormatting sqref="H16:I16">
    <cfRule type="expression" dxfId="316" priority="48">
      <formula>H8="Two"</formula>
    </cfRule>
    <cfRule type="expression" dxfId="315" priority="148">
      <formula>OR(H8="Select Option",H8="One")</formula>
    </cfRule>
  </conditionalFormatting>
  <conditionalFormatting sqref="J16">
    <cfRule type="expression" dxfId="314" priority="60">
      <formula>H8="Two"</formula>
    </cfRule>
    <cfRule type="expression" dxfId="313" priority="147">
      <formula>OR(H8="Select Option",H8="One")</formula>
    </cfRule>
  </conditionalFormatting>
  <conditionalFormatting sqref="H17:I17">
    <cfRule type="expression" dxfId="312" priority="47">
      <formula>H8="Two"</formula>
    </cfRule>
    <cfRule type="expression" dxfId="311" priority="146">
      <formula>OR(H8="Select Option",H8="One")</formula>
    </cfRule>
  </conditionalFormatting>
  <conditionalFormatting sqref="J17">
    <cfRule type="expression" dxfId="310" priority="59">
      <formula>H8="Two"</formula>
    </cfRule>
    <cfRule type="expression" dxfId="309" priority="145">
      <formula>OR(H8="Select Option",H8="One")</formula>
    </cfRule>
  </conditionalFormatting>
  <conditionalFormatting sqref="H18:I18">
    <cfRule type="expression" dxfId="308" priority="46">
      <formula>H8="Two"</formula>
    </cfRule>
    <cfRule type="expression" dxfId="307" priority="144">
      <formula>OR(H8="Select Option",H8="One")</formula>
    </cfRule>
  </conditionalFormatting>
  <conditionalFormatting sqref="J18">
    <cfRule type="expression" dxfId="306" priority="58">
      <formula>H8="Two"</formula>
    </cfRule>
    <cfRule type="expression" dxfId="305" priority="143">
      <formula>OR(H8="Select Option",H8="One")</formula>
    </cfRule>
  </conditionalFormatting>
  <conditionalFormatting sqref="H19:I19">
    <cfRule type="expression" dxfId="304" priority="45">
      <formula>H8="Two"</formula>
    </cfRule>
    <cfRule type="expression" dxfId="303" priority="142">
      <formula>OR(H8="Select Option",H8="One")</formula>
    </cfRule>
  </conditionalFormatting>
  <conditionalFormatting sqref="J19">
    <cfRule type="expression" dxfId="302" priority="57">
      <formula>H8="Two"</formula>
    </cfRule>
    <cfRule type="expression" dxfId="301" priority="141">
      <formula>OR(H8="Select Option",H8="One")</formula>
    </cfRule>
  </conditionalFormatting>
  <conditionalFormatting sqref="H20:I20">
    <cfRule type="expression" dxfId="300" priority="44">
      <formula>H8="Two"</formula>
    </cfRule>
    <cfRule type="expression" dxfId="299" priority="140">
      <formula>OR(H8="Select Option",H8="One")</formula>
    </cfRule>
  </conditionalFormatting>
  <conditionalFormatting sqref="J20">
    <cfRule type="expression" dxfId="298" priority="56">
      <formula>H8="Two"</formula>
    </cfRule>
    <cfRule type="expression" dxfId="297" priority="139">
      <formula>OR(H8="Select Option",H8="One")</formula>
    </cfRule>
  </conditionalFormatting>
  <conditionalFormatting sqref="H21:I21">
    <cfRule type="expression" dxfId="296" priority="43">
      <formula>H8="Two"</formula>
    </cfRule>
    <cfRule type="expression" dxfId="295" priority="138">
      <formula>OR(H8="Select Option",H8="One")</formula>
    </cfRule>
  </conditionalFormatting>
  <conditionalFormatting sqref="J21">
    <cfRule type="expression" dxfId="294" priority="55">
      <formula>H8="Two"</formula>
    </cfRule>
    <cfRule type="expression" dxfId="293" priority="137">
      <formula>OR(H8="Select Option",H8="One")</formula>
    </cfRule>
  </conditionalFormatting>
  <conditionalFormatting sqref="H22:I22">
    <cfRule type="expression" dxfId="292" priority="42">
      <formula>H8="Two"</formula>
    </cfRule>
    <cfRule type="expression" dxfId="291" priority="136">
      <formula>OR(H8="Select Option",H8="One")</formula>
    </cfRule>
  </conditionalFormatting>
  <conditionalFormatting sqref="J22">
    <cfRule type="expression" dxfId="290" priority="54">
      <formula>H8="Two"</formula>
    </cfRule>
    <cfRule type="expression" dxfId="289" priority="135">
      <formula>OR(H8="Select Option",H8="One")</formula>
    </cfRule>
  </conditionalFormatting>
  <conditionalFormatting sqref="H23:I23">
    <cfRule type="expression" dxfId="288" priority="41">
      <formula>H8="Two"</formula>
    </cfRule>
    <cfRule type="expression" dxfId="287" priority="134">
      <formula>OR(H8="Select Option",H8="One")</formula>
    </cfRule>
  </conditionalFormatting>
  <conditionalFormatting sqref="J23">
    <cfRule type="expression" dxfId="286" priority="53">
      <formula>H8="Two"</formula>
    </cfRule>
    <cfRule type="expression" dxfId="285" priority="133">
      <formula>OR(H8="Select Option",H8="One")</formula>
    </cfRule>
  </conditionalFormatting>
  <conditionalFormatting sqref="H24:I24">
    <cfRule type="expression" dxfId="284" priority="40">
      <formula>H8="Two"</formula>
    </cfRule>
    <cfRule type="expression" dxfId="283" priority="132">
      <formula>OR(H8="Select Option",H8="One")</formula>
    </cfRule>
  </conditionalFormatting>
  <conditionalFormatting sqref="J24">
    <cfRule type="expression" dxfId="282" priority="52">
      <formula>H8="Two"</formula>
    </cfRule>
    <cfRule type="expression" dxfId="281" priority="131">
      <formula>OR(H8="Select Option",H8="One")</formula>
    </cfRule>
  </conditionalFormatting>
  <conditionalFormatting sqref="E26:F26">
    <cfRule type="expression" dxfId="280" priority="39">
      <formula>H8="Two"</formula>
    </cfRule>
    <cfRule type="expression" dxfId="279" priority="130">
      <formula>OR(H8="Select Option",H8="One")</formula>
    </cfRule>
  </conditionalFormatting>
  <conditionalFormatting sqref="G26">
    <cfRule type="expression" dxfId="278" priority="38">
      <formula>H8="Two"</formula>
    </cfRule>
    <cfRule type="expression" dxfId="277" priority="129">
      <formula>OR(H8="Select Option",H8="One")</formula>
    </cfRule>
  </conditionalFormatting>
  <conditionalFormatting sqref="E13:F13">
    <cfRule type="expression" dxfId="276" priority="127">
      <formula>OR(H8="Select Option",H8="Two")</formula>
    </cfRule>
  </conditionalFormatting>
  <conditionalFormatting sqref="G13">
    <cfRule type="expression" dxfId="275" priority="100">
      <formula>H8="One"</formula>
    </cfRule>
    <cfRule type="expression" dxfId="274" priority="126">
      <formula>OR(H8="Select Option",H8="Two")</formula>
    </cfRule>
  </conditionalFormatting>
  <conditionalFormatting sqref="E14:F14">
    <cfRule type="expression" dxfId="273" priority="101">
      <formula>H8="One"</formula>
    </cfRule>
    <cfRule type="expression" dxfId="272" priority="125">
      <formula>OR(H8="Select Option",H8="Two")</formula>
    </cfRule>
  </conditionalFormatting>
  <conditionalFormatting sqref="G14">
    <cfRule type="expression" dxfId="271" priority="98">
      <formula>H8="One"</formula>
    </cfRule>
    <cfRule type="expression" dxfId="270" priority="124">
      <formula>OR(H8="Select Option",H8="Two")</formula>
    </cfRule>
  </conditionalFormatting>
  <conditionalFormatting sqref="E15:F15">
    <cfRule type="expression" dxfId="269" priority="87">
      <formula>H8="One"</formula>
    </cfRule>
    <cfRule type="expression" dxfId="268" priority="123">
      <formula>OR(H8="Select Option",H8="Two")</formula>
    </cfRule>
  </conditionalFormatting>
  <conditionalFormatting sqref="G15">
    <cfRule type="expression" dxfId="267" priority="99">
      <formula>H8="One"</formula>
    </cfRule>
    <cfRule type="expression" dxfId="266" priority="122">
      <formula>OR(H8="Select Option",H8="Two")</formula>
    </cfRule>
  </conditionalFormatting>
  <conditionalFormatting sqref="E16:F16">
    <cfRule type="expression" dxfId="265" priority="86">
      <formula>H8="One"</formula>
    </cfRule>
    <cfRule type="expression" dxfId="264" priority="121">
      <formula>OR(H8="Select Option",H8="Two")</formula>
    </cfRule>
  </conditionalFormatting>
  <conditionalFormatting sqref="G16">
    <cfRule type="expression" dxfId="263" priority="97">
      <formula>H8="One"</formula>
    </cfRule>
    <cfRule type="expression" dxfId="262" priority="120">
      <formula>OR(H8="Select Option",H8="Two")</formula>
    </cfRule>
  </conditionalFormatting>
  <conditionalFormatting sqref="E17:F17">
    <cfRule type="expression" dxfId="261" priority="85">
      <formula>H8="One"</formula>
    </cfRule>
    <cfRule type="expression" dxfId="260" priority="119">
      <formula>OR(H8="Select Option",H8="Two")</formula>
    </cfRule>
  </conditionalFormatting>
  <conditionalFormatting sqref="G17">
    <cfRule type="expression" dxfId="259" priority="96">
      <formula>H8="One"</formula>
    </cfRule>
    <cfRule type="expression" dxfId="258" priority="118">
      <formula>OR(H8="Select Option",H8="Two")</formula>
    </cfRule>
  </conditionalFormatting>
  <conditionalFormatting sqref="E18:F18">
    <cfRule type="expression" dxfId="257" priority="84">
      <formula>H8="One"</formula>
    </cfRule>
    <cfRule type="expression" dxfId="256" priority="117">
      <formula>OR(H8="Select Option",H8="Two")</formula>
    </cfRule>
  </conditionalFormatting>
  <conditionalFormatting sqref="G18">
    <cfRule type="expression" dxfId="255" priority="95">
      <formula>H8="One"</formula>
    </cfRule>
    <cfRule type="expression" dxfId="254" priority="116">
      <formula>OR(H8="Select Option",H8="Two")</formula>
    </cfRule>
  </conditionalFormatting>
  <conditionalFormatting sqref="E19:F19">
    <cfRule type="expression" dxfId="253" priority="83">
      <formula>H8="One"</formula>
    </cfRule>
    <cfRule type="expression" dxfId="252" priority="115">
      <formula>OR(H8="Select Option",H8="Two")</formula>
    </cfRule>
  </conditionalFormatting>
  <conditionalFormatting sqref="G19">
    <cfRule type="expression" dxfId="251" priority="94">
      <formula>H8="One"</formula>
    </cfRule>
    <cfRule type="expression" dxfId="250" priority="114">
      <formula>OR(H8="Select Option",H8="Two")</formula>
    </cfRule>
  </conditionalFormatting>
  <conditionalFormatting sqref="E20:F20">
    <cfRule type="expression" dxfId="249" priority="82">
      <formula>H8="One"</formula>
    </cfRule>
    <cfRule type="expression" dxfId="248" priority="113">
      <formula>OR(H8="Select Option",H8="Two")</formula>
    </cfRule>
  </conditionalFormatting>
  <conditionalFormatting sqref="G20">
    <cfRule type="expression" dxfId="247" priority="93">
      <formula>H8="One"</formula>
    </cfRule>
    <cfRule type="expression" dxfId="246" priority="112">
      <formula>OR(H8="Select Option",H8="Two")</formula>
    </cfRule>
  </conditionalFormatting>
  <conditionalFormatting sqref="E21:F21">
    <cfRule type="expression" dxfId="245" priority="81">
      <formula>H8="One"</formula>
    </cfRule>
    <cfRule type="expression" dxfId="244" priority="111">
      <formula>OR(H8="Select Option",H8="Two")</formula>
    </cfRule>
  </conditionalFormatting>
  <conditionalFormatting sqref="G21">
    <cfRule type="expression" dxfId="243" priority="92">
      <formula>H8="One"</formula>
    </cfRule>
    <cfRule type="expression" dxfId="242" priority="110">
      <formula>OR(H8="Select Option",H8="Two")</formula>
    </cfRule>
  </conditionalFormatting>
  <conditionalFormatting sqref="E22:F22">
    <cfRule type="expression" dxfId="241" priority="80">
      <formula>H8="One"</formula>
    </cfRule>
    <cfRule type="expression" dxfId="240" priority="109">
      <formula>OR(H8="Select Option",H8="Two")</formula>
    </cfRule>
  </conditionalFormatting>
  <conditionalFormatting sqref="G22">
    <cfRule type="expression" dxfId="239" priority="91">
      <formula>H8="One"</formula>
    </cfRule>
    <cfRule type="expression" dxfId="238" priority="108">
      <formula>OR(H8="Select Option",H8="Two")</formula>
    </cfRule>
  </conditionalFormatting>
  <conditionalFormatting sqref="E23:F23">
    <cfRule type="expression" dxfId="237" priority="79">
      <formula>H8="One"</formula>
    </cfRule>
    <cfRule type="expression" dxfId="236" priority="107">
      <formula>OR(H8="Select Option",H8="Two")</formula>
    </cfRule>
  </conditionalFormatting>
  <conditionalFormatting sqref="G23">
    <cfRule type="expression" dxfId="235" priority="90">
      <formula>H8="One"</formula>
    </cfRule>
    <cfRule type="expression" dxfId="234" priority="106">
      <formula>OR(H8="Select Option",H8="Two")</formula>
    </cfRule>
  </conditionalFormatting>
  <conditionalFormatting sqref="E24:F24">
    <cfRule type="expression" dxfId="233" priority="78">
      <formula>H8="One"</formula>
    </cfRule>
    <cfRule type="expression" dxfId="232" priority="105">
      <formula>OR(H8="Select Option",H8="Two")</formula>
    </cfRule>
  </conditionalFormatting>
  <conditionalFormatting sqref="G24">
    <cfRule type="expression" dxfId="231" priority="89">
      <formula>H8="One"</formula>
    </cfRule>
    <cfRule type="expression" dxfId="230" priority="104">
      <formula>OR(H8="Select Option",H8="Two")</formula>
    </cfRule>
  </conditionalFormatting>
  <conditionalFormatting sqref="E27:F27">
    <cfRule type="expression" dxfId="229" priority="77">
      <formula>H8="One"</formula>
    </cfRule>
    <cfRule type="expression" dxfId="228" priority="103">
      <formula>OR(H8="Select Option",H8="Two")</formula>
    </cfRule>
  </conditionalFormatting>
  <conditionalFormatting sqref="G27">
    <cfRule type="expression" dxfId="227" priority="88">
      <formula>H8="One"</formula>
    </cfRule>
    <cfRule type="expression" dxfId="226" priority="102">
      <formula>OR(H8="Select Option",H8="Two")</formula>
    </cfRule>
  </conditionalFormatting>
  <conditionalFormatting sqref="D13">
    <cfRule type="expression" dxfId="225" priority="75">
      <formula>H8="Two"</formula>
    </cfRule>
  </conditionalFormatting>
  <conditionalFormatting sqref="E25:G25">
    <cfRule type="expression" dxfId="224" priority="36">
      <formula>G14=""</formula>
    </cfRule>
    <cfRule type="expression" dxfId="223" priority="37">
      <formula>G14&lt;25%</formula>
    </cfRule>
  </conditionalFormatting>
  <conditionalFormatting sqref="B25:D25">
    <cfRule type="expression" dxfId="222" priority="34">
      <formula>D14=""</formula>
    </cfRule>
    <cfRule type="expression" dxfId="221" priority="35">
      <formula>D14&lt;25%</formula>
    </cfRule>
  </conditionalFormatting>
  <conditionalFormatting sqref="H25:J25">
    <cfRule type="expression" dxfId="220" priority="31">
      <formula>J14=""</formula>
    </cfRule>
    <cfRule type="expression" dxfId="219" priority="33">
      <formula>J14&lt;25%</formula>
    </cfRule>
  </conditionalFormatting>
  <conditionalFormatting sqref="H10">
    <cfRule type="expression" dxfId="218" priority="25">
      <formula>$U$9="Yes"</formula>
    </cfRule>
  </conditionalFormatting>
  <conditionalFormatting sqref="B12:D12">
    <cfRule type="expression" dxfId="217" priority="18">
      <formula>H8="Two"</formula>
    </cfRule>
    <cfRule type="expression" dxfId="216" priority="19">
      <formula>OR(H8="Select Option",H8="One")</formula>
    </cfRule>
  </conditionalFormatting>
  <conditionalFormatting sqref="E12:G12">
    <cfRule type="expression" dxfId="215" priority="12">
      <formula>$H$8="Select Option"</formula>
    </cfRule>
    <cfRule type="expression" dxfId="214" priority="13">
      <formula>AND($H$8="Two",$H$10="Select Option")</formula>
    </cfRule>
    <cfRule type="expression" dxfId="213" priority="14">
      <formula>AND($U$9="Yes",$H$8="Two")</formula>
    </cfRule>
    <cfRule type="expression" dxfId="212" priority="15">
      <formula>AND($H$8="Two",$H$10="Yes")</formula>
    </cfRule>
    <cfRule type="expression" dxfId="211" priority="16">
      <formula>AND($U$2="No",$U$9="No",$H$8="Two")</formula>
    </cfRule>
    <cfRule type="expression" dxfId="210" priority="17">
      <formula>OR(H8="Select Option",H8="Two")</formula>
    </cfRule>
  </conditionalFormatting>
  <conditionalFormatting sqref="H12:J12">
    <cfRule type="expression" dxfId="209" priority="11">
      <formula>OR(H8="Select Option",H8="One")</formula>
    </cfRule>
  </conditionalFormatting>
  <conditionalFormatting sqref="D11:G11">
    <cfRule type="expression" dxfId="208" priority="6">
      <formula>$U$9="Yes"</formula>
    </cfRule>
    <cfRule type="expression" dxfId="207" priority="7">
      <formula>$H$8="Select Option"</formula>
    </cfRule>
    <cfRule type="expression" dxfId="206" priority="8">
      <formula>$H$10="Yes"</formula>
    </cfRule>
    <cfRule type="expression" dxfId="205" priority="9">
      <formula>AND($U$2="No",$U$9="No")</formula>
    </cfRule>
    <cfRule type="expression" dxfId="204" priority="10">
      <formula>$H$10="Select Option"</formula>
    </cfRule>
  </conditionalFormatting>
  <conditionalFormatting sqref="D10:G10">
    <cfRule type="expression" dxfId="203" priority="5">
      <formula>$U$9="Yes"</formula>
    </cfRule>
  </conditionalFormatting>
  <conditionalFormatting sqref="H11">
    <cfRule type="expression" dxfId="202" priority="1">
      <formula>$U$9="Yes"</formula>
    </cfRule>
    <cfRule type="expression" dxfId="201" priority="2">
      <formula>$H$10="Yes"</formula>
    </cfRule>
    <cfRule type="expression" dxfId="200" priority="3">
      <formula>AND($U$2="No",$U$9="No")</formula>
    </cfRule>
    <cfRule type="expression" dxfId="199" priority="4">
      <formula>$H$10="Select Option"</formula>
    </cfRule>
  </conditionalFormatting>
  <dataValidations count="1">
    <dataValidation type="list" allowBlank="1" showInputMessage="1" showErrorMessage="1" sqref="H10:I11" xr:uid="{F7831C1A-E5B7-4B19-B47E-1DBF5ED12DDD}">
      <formula1>"Select Option, Yes, No"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Button 2">
              <controlPr locked="0" defaultSize="0" print="0" autoFill="0" autoPict="0" macro="[0]!Corporation_Click">
                <anchor moveWithCells="1" sizeWithCells="1">
                  <from>
                    <xdr:col>9</xdr:col>
                    <xdr:colOff>704850</xdr:colOff>
                    <xdr:row>6</xdr:row>
                    <xdr:rowOff>180975</xdr:rowOff>
                  </from>
                  <to>
                    <xdr:col>10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23D507C-20EF-4E6F-86CF-DA668667833E}">
          <x14:formula1>
            <xm:f>Lists!$C$11:$C$13</xm:f>
          </x14:formula1>
          <xm:sqref>H8:I8</xm:sqref>
        </x14:dataValidation>
        <x14:dataValidation type="list" allowBlank="1" showInputMessage="1" showErrorMessage="1" xr:uid="{9712D2C1-7457-43DD-A302-62369EB70247}">
          <x14:formula1>
            <xm:f>Lists!$E$11:$E$13</xm:f>
          </x14:formula1>
          <xm:sqref>H9:I9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70BF-68DE-4B7A-91CA-BB8F920F2CF1}">
  <sheetPr codeName="Sheet11"/>
  <dimension ref="A1:H42"/>
  <sheetViews>
    <sheetView workbookViewId="0">
      <selection activeCell="F6" sqref="F6"/>
    </sheetView>
  </sheetViews>
  <sheetFormatPr defaultColWidth="0" defaultRowHeight="14.25" zeroHeight="1"/>
  <cols>
    <col min="1" max="1" width="7.625" customWidth="1"/>
    <col min="2" max="2" width="16.125" customWidth="1"/>
    <col min="3" max="3" width="9.625" customWidth="1"/>
    <col min="4" max="4" width="9.125" customWidth="1"/>
    <col min="5" max="5" width="8.125" customWidth="1"/>
    <col min="6" max="6" width="16.375" customWidth="1"/>
    <col min="7" max="8" width="8.875" customWidth="1"/>
    <col min="9" max="16384" width="8.875" hidden="1"/>
  </cols>
  <sheetData>
    <row r="1" spans="1:8" ht="16.5" customHeight="1">
      <c r="A1" s="143" t="s">
        <v>58</v>
      </c>
      <c r="B1" s="143"/>
      <c r="C1" s="143"/>
      <c r="D1" s="143"/>
      <c r="E1" s="143"/>
      <c r="F1" s="143"/>
      <c r="G1" s="143"/>
      <c r="H1" s="143"/>
    </row>
    <row r="2" spans="1:8" ht="16.5" customHeight="1">
      <c r="A2" s="143"/>
      <c r="B2" s="143"/>
      <c r="C2" s="143"/>
      <c r="D2" s="143"/>
      <c r="E2" s="143"/>
      <c r="F2" s="143"/>
      <c r="G2" s="143"/>
      <c r="H2" s="143"/>
    </row>
    <row r="3" spans="1:8" ht="16.5" customHeight="1">
      <c r="A3" s="143"/>
      <c r="B3" s="143"/>
      <c r="C3" s="143"/>
      <c r="D3" s="143"/>
      <c r="E3" s="143"/>
      <c r="F3" s="143"/>
      <c r="G3" s="143"/>
      <c r="H3" s="143"/>
    </row>
    <row r="4" spans="1:8" ht="16.5" customHeight="1">
      <c r="A4" s="143"/>
      <c r="B4" s="143"/>
      <c r="C4" s="143"/>
      <c r="D4" s="143"/>
      <c r="E4" s="143"/>
      <c r="F4" s="143"/>
      <c r="G4" s="143"/>
      <c r="H4" s="143"/>
    </row>
    <row r="5" spans="1:8">
      <c r="A5" s="49"/>
      <c r="B5" s="49"/>
      <c r="C5" s="49"/>
      <c r="D5" s="49"/>
      <c r="E5" s="49"/>
      <c r="F5" s="49"/>
      <c r="G5" s="49"/>
      <c r="H5" s="49"/>
    </row>
    <row r="6" spans="1:8">
      <c r="A6" s="49"/>
      <c r="B6" s="241" t="s">
        <v>59</v>
      </c>
      <c r="C6" s="242"/>
      <c r="D6" s="242"/>
      <c r="E6" s="242"/>
      <c r="F6" s="133" t="s">
        <v>29</v>
      </c>
      <c r="G6" s="49"/>
      <c r="H6" s="49"/>
    </row>
    <row r="7" spans="1:8">
      <c r="A7" s="49"/>
      <c r="B7" s="241" t="s">
        <v>171</v>
      </c>
      <c r="C7" s="242"/>
      <c r="D7" s="242"/>
      <c r="E7" s="242"/>
      <c r="F7" s="133" t="s">
        <v>29</v>
      </c>
      <c r="G7" s="49"/>
      <c r="H7" s="49"/>
    </row>
    <row r="8" spans="1:8">
      <c r="A8" s="49"/>
      <c r="B8" s="49"/>
      <c r="C8" s="49"/>
      <c r="D8" s="49"/>
      <c r="E8" s="49"/>
      <c r="F8" s="49"/>
      <c r="G8" s="49"/>
      <c r="H8" s="49"/>
    </row>
    <row r="9" spans="1:8">
      <c r="A9" s="49"/>
      <c r="B9" s="207" t="s">
        <v>158</v>
      </c>
      <c r="C9" s="207"/>
      <c r="D9" s="207"/>
      <c r="E9" s="207"/>
      <c r="F9" s="207"/>
      <c r="G9" s="49"/>
      <c r="H9" s="49"/>
    </row>
    <row r="10" spans="1:8">
      <c r="A10" s="49"/>
      <c r="B10" s="49"/>
      <c r="C10" s="49"/>
      <c r="D10" s="49"/>
      <c r="E10" s="49"/>
      <c r="F10" s="49"/>
      <c r="G10" s="49"/>
      <c r="H10" s="49"/>
    </row>
    <row r="11" spans="1:8">
      <c r="A11" s="49"/>
      <c r="B11" s="189" t="s">
        <v>60</v>
      </c>
      <c r="C11" s="189"/>
      <c r="D11" s="189"/>
      <c r="E11" s="244"/>
      <c r="F11" s="244"/>
      <c r="G11" s="49"/>
      <c r="H11" s="49"/>
    </row>
    <row r="12" spans="1:8">
      <c r="A12" s="49"/>
      <c r="B12" s="50"/>
      <c r="C12" s="50"/>
      <c r="D12" s="50"/>
      <c r="E12" s="50"/>
      <c r="F12" s="50"/>
      <c r="G12" s="49"/>
      <c r="H12" s="49"/>
    </row>
    <row r="13" spans="1:8">
      <c r="A13" s="49"/>
      <c r="B13" s="189" t="s">
        <v>7</v>
      </c>
      <c r="C13" s="189"/>
      <c r="D13" s="189"/>
      <c r="E13" s="243">
        <f>E11</f>
        <v>0</v>
      </c>
      <c r="F13" s="189"/>
      <c r="G13" s="49"/>
      <c r="H13" s="49"/>
    </row>
    <row r="14" spans="1:8">
      <c r="A14" s="49"/>
      <c r="B14" s="49"/>
      <c r="C14" s="49"/>
      <c r="D14" s="49"/>
      <c r="E14" s="49"/>
      <c r="F14" s="49"/>
      <c r="G14" s="49"/>
      <c r="H14" s="49"/>
    </row>
    <row r="15" spans="1:8">
      <c r="A15" s="49"/>
      <c r="B15" s="49"/>
      <c r="C15" s="49"/>
      <c r="D15" s="49"/>
      <c r="E15" s="49"/>
      <c r="F15" s="49"/>
      <c r="G15" s="49"/>
      <c r="H15" s="49"/>
    </row>
    <row r="16" spans="1:8" hidden="1">
      <c r="A16" s="1"/>
      <c r="B16" s="1"/>
      <c r="C16" s="1"/>
      <c r="D16" s="1"/>
      <c r="E16" s="1"/>
      <c r="F16" s="1"/>
      <c r="G16" s="1"/>
    </row>
    <row r="17" spans="1:7" hidden="1">
      <c r="A17" s="1"/>
      <c r="B17" s="1"/>
      <c r="C17" s="1"/>
      <c r="D17" s="1"/>
      <c r="E17" s="1"/>
      <c r="F17" s="1"/>
      <c r="G17" s="1"/>
    </row>
    <row r="18" spans="1:7" hidden="1">
      <c r="A18" s="1"/>
      <c r="B18" s="1"/>
      <c r="C18" s="1"/>
      <c r="D18" s="1"/>
      <c r="E18" s="1"/>
      <c r="F18" s="1"/>
      <c r="G18" s="1"/>
    </row>
    <row r="33" customFormat="1" hidden="1"/>
    <row r="34" customFormat="1" hidden="1"/>
    <row r="35" customFormat="1" hidden="1"/>
    <row r="36" customFormat="1" hidden="1"/>
    <row r="37" customFormat="1" hidden="1"/>
    <row r="38" customFormat="1" hidden="1"/>
    <row r="39" customFormat="1" hidden="1"/>
    <row r="40" customFormat="1" hidden="1"/>
    <row r="41" customFormat="1" hidden="1"/>
    <row r="42" customFormat="1" hidden="1"/>
  </sheetData>
  <sheetProtection algorithmName="SHA-512" hashValue="mXA4N56c3EspfoJhpLBeB4nrq7zkA1y4quJyuTaiA6wV0ekLFBz2PyJF6KEllgVdyvZhMBtcIlRfPZbBVJjBYg==" saltValue="wOMTI+ql5+h/LV3nsHfMmA==" spinCount="100000" sheet="1" objects="1" scenarios="1" selectLockedCells="1"/>
  <mergeCells count="8">
    <mergeCell ref="A1:H4"/>
    <mergeCell ref="B7:E7"/>
    <mergeCell ref="B13:D13"/>
    <mergeCell ref="E13:F13"/>
    <mergeCell ref="B6:E6"/>
    <mergeCell ref="B9:F9"/>
    <mergeCell ref="B11:D11"/>
    <mergeCell ref="E11:F11"/>
  </mergeCells>
  <conditionalFormatting sqref="B9:F9">
    <cfRule type="expression" dxfId="198" priority="5">
      <formula>OR(F6="No",F7="No")</formula>
    </cfRule>
  </conditionalFormatting>
  <conditionalFormatting sqref="B11:D11">
    <cfRule type="expression" dxfId="197" priority="4">
      <formula>AND(F6="Yes",F7="Yes")</formula>
    </cfRule>
    <cfRule type="expression" dxfId="196" priority="7">
      <formula>F6="No"</formula>
    </cfRule>
  </conditionalFormatting>
  <conditionalFormatting sqref="E11:F11">
    <cfRule type="expression" dxfId="195" priority="3">
      <formula>AND(F6="Yes",F7="Yes")</formula>
    </cfRule>
    <cfRule type="expression" dxfId="194" priority="6">
      <formula>F6="No"</formula>
    </cfRule>
  </conditionalFormatting>
  <conditionalFormatting sqref="E13:F13">
    <cfRule type="expression" dxfId="193" priority="2">
      <formula>AND(F6="Yes",F7="Yes")</formula>
    </cfRule>
  </conditionalFormatting>
  <conditionalFormatting sqref="B13:D13">
    <cfRule type="expression" dxfId="192" priority="1">
      <formula>AND(F6="Yes",F7="Yes")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Button 2">
              <controlPr locked="0" defaultSize="0" print="0" autoFill="0" autoPict="0" macro="[0]!Button4_Click">
                <anchor moveWithCells="1" sizeWithCells="1">
                  <from>
                    <xdr:col>16383</xdr:col>
                    <xdr:colOff>0</xdr:colOff>
                    <xdr:row>12</xdr:row>
                    <xdr:rowOff>0</xdr:rowOff>
                  </from>
                  <to>
                    <xdr:col>16383</xdr:col>
                    <xdr:colOff>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Button 3">
              <controlPr locked="0" defaultSize="0" print="0" autoFill="0" autoPict="0" macro="[0]!Button4_Click">
                <anchor moveWithCells="1" sizeWithCells="1">
                  <from>
                    <xdr:col>16383</xdr:col>
                    <xdr:colOff>0</xdr:colOff>
                    <xdr:row>12</xdr:row>
                    <xdr:rowOff>0</xdr:rowOff>
                  </from>
                  <to>
                    <xdr:col>16383</xdr:col>
                    <xdr:colOff>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Button 4">
              <controlPr locked="0" defaultSize="0" print="0" autoFill="0" autoPict="0" macro="[0]!Button4_Click">
                <anchor moveWithCells="1" sizeWithCells="1">
                  <from>
                    <xdr:col>16383</xdr:col>
                    <xdr:colOff>0</xdr:colOff>
                    <xdr:row>12</xdr:row>
                    <xdr:rowOff>0</xdr:rowOff>
                  </from>
                  <to>
                    <xdr:col>16383</xdr:col>
                    <xdr:colOff>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7" name="Button 6">
              <controlPr locked="0" defaultSize="0" print="0" autoFill="0" autoPict="0" macro="[0]!Alimony_Click">
                <anchor moveWithCells="1" sizeWithCells="1">
                  <from>
                    <xdr:col>6</xdr:col>
                    <xdr:colOff>304800</xdr:colOff>
                    <xdr:row>5</xdr:row>
                    <xdr:rowOff>190500</xdr:rowOff>
                  </from>
                  <to>
                    <xdr:col>7</xdr:col>
                    <xdr:colOff>504825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85EBAF-7FA7-4267-87E9-FA8076221EB0}">
          <x14:formula1>
            <xm:f>Lists!$E$11:$E$13</xm:f>
          </x14:formula1>
          <xm:sqref>F6:F7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B84AC-B422-407C-91B0-C2B797516173}">
  <sheetPr codeName="Sheet12"/>
  <dimension ref="A1:J21"/>
  <sheetViews>
    <sheetView workbookViewId="0">
      <selection activeCell="H7" sqref="H7"/>
    </sheetView>
  </sheetViews>
  <sheetFormatPr defaultColWidth="0" defaultRowHeight="14.25" zeroHeight="1"/>
  <cols>
    <col min="1" max="1" width="8.875" customWidth="1"/>
    <col min="2" max="2" width="12" customWidth="1"/>
    <col min="3" max="6" width="8.875" customWidth="1"/>
    <col min="7" max="7" width="12.375" customWidth="1"/>
    <col min="8" max="8" width="16.25" customWidth="1"/>
    <col min="9" max="10" width="8.875" customWidth="1"/>
    <col min="11" max="16384" width="8.875" hidden="1"/>
  </cols>
  <sheetData>
    <row r="1" spans="1:10" ht="16.5" customHeight="1">
      <c r="A1" s="247" t="s">
        <v>67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ht="16.5" customHeight="1">
      <c r="A2" s="247"/>
      <c r="B2" s="247"/>
      <c r="C2" s="247"/>
      <c r="D2" s="247"/>
      <c r="E2" s="247"/>
      <c r="F2" s="247"/>
      <c r="G2" s="247"/>
      <c r="H2" s="247"/>
      <c r="I2" s="247"/>
      <c r="J2" s="247"/>
    </row>
    <row r="3" spans="1:10" ht="16.5" customHeight="1">
      <c r="A3" s="247"/>
      <c r="B3" s="247"/>
      <c r="C3" s="247"/>
      <c r="D3" s="247"/>
      <c r="E3" s="247"/>
      <c r="F3" s="247"/>
      <c r="G3" s="247"/>
      <c r="H3" s="247"/>
      <c r="I3" s="247"/>
      <c r="J3" s="247"/>
    </row>
    <row r="4" spans="1:10" ht="16.5" customHeight="1">
      <c r="A4" s="247"/>
      <c r="B4" s="247"/>
      <c r="C4" s="247"/>
      <c r="D4" s="247"/>
      <c r="E4" s="247"/>
      <c r="F4" s="247"/>
      <c r="G4" s="247"/>
      <c r="H4" s="247"/>
      <c r="I4" s="247"/>
      <c r="J4" s="247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250" t="s">
        <v>68</v>
      </c>
      <c r="C7" s="251"/>
      <c r="D7" s="251"/>
      <c r="E7" s="251"/>
      <c r="F7" s="251"/>
      <c r="G7" s="251"/>
      <c r="H7" s="134" t="s">
        <v>29</v>
      </c>
      <c r="I7" s="1"/>
      <c r="J7" s="1"/>
    </row>
    <row r="8" spans="1:10">
      <c r="A8" s="1"/>
      <c r="B8" s="250" t="s">
        <v>69</v>
      </c>
      <c r="C8" s="251"/>
      <c r="D8" s="251"/>
      <c r="E8" s="251"/>
      <c r="F8" s="251"/>
      <c r="G8" s="251"/>
      <c r="H8" s="134" t="s">
        <v>29</v>
      </c>
      <c r="I8" s="1"/>
      <c r="J8" s="1"/>
    </row>
    <row r="9" spans="1:10">
      <c r="A9" s="1"/>
      <c r="B9" s="250" t="s">
        <v>70</v>
      </c>
      <c r="C9" s="251"/>
      <c r="D9" s="251"/>
      <c r="E9" s="251"/>
      <c r="F9" s="251"/>
      <c r="G9" s="251"/>
      <c r="H9" s="134" t="s">
        <v>29</v>
      </c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249" t="s">
        <v>71</v>
      </c>
      <c r="C11" s="249"/>
      <c r="D11" s="249"/>
      <c r="E11" s="249"/>
      <c r="F11" s="249"/>
      <c r="G11" s="249"/>
      <c r="H11" s="249"/>
      <c r="I11" s="1"/>
      <c r="J11" s="1"/>
    </row>
    <row r="12" spans="1:10">
      <c r="A12" s="1"/>
      <c r="B12" s="1"/>
      <c r="C12" s="63"/>
      <c r="D12" s="63"/>
      <c r="E12" s="63"/>
      <c r="F12" s="76"/>
      <c r="G12" s="76"/>
      <c r="H12" s="1"/>
      <c r="I12" s="1"/>
      <c r="J12" s="1"/>
    </row>
    <row r="13" spans="1:10">
      <c r="A13" s="1"/>
      <c r="B13" s="1"/>
      <c r="C13" s="245" t="s">
        <v>60</v>
      </c>
      <c r="D13" s="245"/>
      <c r="E13" s="245"/>
      <c r="F13" s="248"/>
      <c r="G13" s="248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245" t="s">
        <v>7</v>
      </c>
      <c r="D15" s="245"/>
      <c r="E15" s="245"/>
      <c r="F15" s="246">
        <f>F13</f>
        <v>0</v>
      </c>
      <c r="G15" s="246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</row>
    <row r="17" spans="1:9" hidden="1">
      <c r="A17" s="1"/>
      <c r="B17" s="1"/>
      <c r="C17" s="1"/>
      <c r="D17" s="1"/>
      <c r="E17" s="1"/>
      <c r="F17" s="1"/>
      <c r="G17" s="1"/>
      <c r="H17" s="1"/>
      <c r="I17" s="1"/>
    </row>
    <row r="18" spans="1:9" hidden="1">
      <c r="A18" s="1"/>
      <c r="B18" s="1"/>
      <c r="C18" s="1"/>
      <c r="D18" s="1"/>
      <c r="E18" s="1"/>
      <c r="F18" s="1"/>
      <c r="G18" s="1"/>
      <c r="H18" s="1"/>
      <c r="I18" s="1"/>
    </row>
    <row r="19" spans="1:9" hidden="1">
      <c r="A19" s="1"/>
      <c r="B19" s="1"/>
      <c r="C19" s="1"/>
      <c r="D19" s="1"/>
      <c r="E19" s="1"/>
      <c r="F19" s="1"/>
      <c r="G19" s="1"/>
      <c r="H19" s="1"/>
      <c r="I19" s="1"/>
    </row>
    <row r="20" spans="1:9" hidden="1">
      <c r="A20" s="1"/>
      <c r="B20" s="1"/>
      <c r="C20" s="1"/>
      <c r="D20" s="1"/>
      <c r="E20" s="1"/>
      <c r="F20" s="1"/>
      <c r="G20" s="1"/>
      <c r="H20" s="1"/>
      <c r="I20" s="1"/>
    </row>
    <row r="21" spans="1:9" hidden="1">
      <c r="A21" s="1"/>
      <c r="B21" s="1"/>
      <c r="C21" s="1"/>
      <c r="D21" s="1"/>
      <c r="E21" s="1"/>
      <c r="F21" s="1"/>
      <c r="G21" s="1"/>
      <c r="H21" s="1"/>
      <c r="I21" s="1"/>
    </row>
  </sheetData>
  <sheetProtection algorithmName="SHA-512" hashValue="OBp1XQQcHSyOkAbrTdCVRaVUG2v3VTLGw3m8ZpRUeWDsRVf5yw5oXOzXJ9CXiFhUDnijEhMI6cX+DnYt6Sb3RQ==" saltValue="TopzxU0QifPUp0150esmYg==" spinCount="100000" sheet="1" objects="1" scenarios="1" selectLockedCells="1"/>
  <mergeCells count="9">
    <mergeCell ref="C15:E15"/>
    <mergeCell ref="F15:G15"/>
    <mergeCell ref="A1:J4"/>
    <mergeCell ref="C13:E13"/>
    <mergeCell ref="F13:G13"/>
    <mergeCell ref="B11:H11"/>
    <mergeCell ref="B7:G7"/>
    <mergeCell ref="B8:G8"/>
    <mergeCell ref="B9:G9"/>
  </mergeCells>
  <conditionalFormatting sqref="C13:E13">
    <cfRule type="expression" dxfId="191" priority="6">
      <formula>AND(H7="No",H8="Yes",H9="Yes")</formula>
    </cfRule>
  </conditionalFormatting>
  <conditionalFormatting sqref="F13:G13">
    <cfRule type="expression" dxfId="190" priority="5">
      <formula>AND(H7="No",H8="Yes",H9="Yes")</formula>
    </cfRule>
  </conditionalFormatting>
  <conditionalFormatting sqref="B11:H11">
    <cfRule type="expression" dxfId="189" priority="4">
      <formula>OR(H7="Yes",H8="No",H9="No")</formula>
    </cfRule>
  </conditionalFormatting>
  <conditionalFormatting sqref="F15:G15">
    <cfRule type="expression" dxfId="188" priority="2">
      <formula>AND(H7="No",H8="Yes",H9="Yes")</formula>
    </cfRule>
  </conditionalFormatting>
  <conditionalFormatting sqref="C15:E15">
    <cfRule type="expression" dxfId="187" priority="1">
      <formula>AND(H7="No",H8="Yes",H9="Yes")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4" name="Button 2">
              <controlPr locked="0" defaultSize="0" print="0" autoFill="0" autoPict="0" macro="[0]!Button4_Click">
                <anchor moveWithCells="1" sizeWithCells="1">
                  <from>
                    <xdr:col>16383</xdr:col>
                    <xdr:colOff>0</xdr:colOff>
                    <xdr:row>11</xdr:row>
                    <xdr:rowOff>47625</xdr:rowOff>
                  </from>
                  <to>
                    <xdr:col>16383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5" name="Button 3">
              <controlPr locked="0" defaultSize="0" print="0" autoFill="0" autoPict="0" macro="[0]!BoarderIncome_Click">
                <anchor moveWithCells="1" sizeWithCells="1">
                  <from>
                    <xdr:col>8</xdr:col>
                    <xdr:colOff>342900</xdr:colOff>
                    <xdr:row>6</xdr:row>
                    <xdr:rowOff>95250</xdr:rowOff>
                  </from>
                  <to>
                    <xdr:col>9</xdr:col>
                    <xdr:colOff>542925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64A463-FC3A-45CB-8B7E-71E0C658F593}">
          <x14:formula1>
            <xm:f>Lists!$E$11:$E$13</xm:f>
          </x14:formula1>
          <xm:sqref>H7 H8 H9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4ED66-FC54-4A77-A6EE-839C74726995}">
  <sheetPr codeName="Sheet13"/>
  <dimension ref="A1:M37"/>
  <sheetViews>
    <sheetView workbookViewId="0">
      <selection activeCell="H7" sqref="H7"/>
    </sheetView>
  </sheetViews>
  <sheetFormatPr defaultColWidth="0" defaultRowHeight="14.25" zeroHeight="1"/>
  <cols>
    <col min="1" max="1" width="9.375" customWidth="1"/>
    <col min="2" max="2" width="7.375" customWidth="1"/>
    <col min="3" max="3" width="6.25" customWidth="1"/>
    <col min="4" max="4" width="7" customWidth="1"/>
    <col min="5" max="5" width="9" customWidth="1"/>
    <col min="6" max="6" width="7.25" customWidth="1"/>
    <col min="7" max="7" width="12.625" customWidth="1"/>
    <col min="8" max="8" width="15.75" customWidth="1"/>
    <col min="9" max="10" width="8.875" customWidth="1"/>
    <col min="11" max="12" width="8.875" hidden="1" customWidth="1"/>
    <col min="13" max="13" width="23.875" hidden="1" customWidth="1"/>
    <col min="14" max="16384" width="8.875" hidden="1"/>
  </cols>
  <sheetData>
    <row r="1" spans="1:13" ht="16.5" customHeight="1">
      <c r="A1" s="143" t="s">
        <v>72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6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</row>
    <row r="3" spans="1:13" ht="16.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</row>
    <row r="4" spans="1:13" ht="16.5" customHeight="1">
      <c r="A4" s="143"/>
      <c r="B4" s="143"/>
      <c r="C4" s="143"/>
      <c r="D4" s="143"/>
      <c r="E4" s="143"/>
      <c r="F4" s="143"/>
      <c r="G4" s="143"/>
      <c r="H4" s="143"/>
      <c r="I4" s="143"/>
      <c r="J4" s="143"/>
    </row>
    <row r="5" spans="1:13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49"/>
      <c r="B6" s="49"/>
      <c r="C6" s="49"/>
      <c r="D6" s="49"/>
      <c r="E6" s="49"/>
      <c r="F6" s="49"/>
      <c r="G6" s="49"/>
      <c r="H6" s="49"/>
      <c r="I6" s="49"/>
      <c r="J6" s="49"/>
    </row>
    <row r="7" spans="1:13" ht="36.75" customHeight="1">
      <c r="A7" s="49"/>
      <c r="B7" s="252" t="s">
        <v>542</v>
      </c>
      <c r="C7" s="253"/>
      <c r="D7" s="253"/>
      <c r="E7" s="253"/>
      <c r="F7" s="253"/>
      <c r="G7" s="254"/>
      <c r="H7" s="133" t="s">
        <v>29</v>
      </c>
      <c r="I7" s="49"/>
      <c r="J7" s="49"/>
    </row>
    <row r="8" spans="1:13">
      <c r="A8" s="49"/>
      <c r="B8" s="49"/>
      <c r="C8" s="49"/>
      <c r="D8" s="49"/>
      <c r="E8" s="49"/>
      <c r="F8" s="49"/>
      <c r="G8" s="49"/>
      <c r="H8" s="49"/>
      <c r="I8" s="49"/>
      <c r="J8" s="49"/>
      <c r="M8" t="s">
        <v>87</v>
      </c>
    </row>
    <row r="9" spans="1:13">
      <c r="A9" s="49"/>
      <c r="B9" s="255" t="s">
        <v>73</v>
      </c>
      <c r="C9" s="255"/>
      <c r="D9" s="255"/>
      <c r="E9" s="255"/>
      <c r="F9" s="255"/>
      <c r="G9" s="255"/>
      <c r="H9" s="255"/>
      <c r="I9" s="49"/>
      <c r="J9" s="49"/>
      <c r="M9" s="3">
        <f>(G11+G12)/24</f>
        <v>0</v>
      </c>
    </row>
    <row r="10" spans="1:13">
      <c r="A10" s="49"/>
      <c r="B10" s="49"/>
      <c r="C10" s="49"/>
      <c r="D10" s="49"/>
      <c r="E10" s="49"/>
      <c r="F10" s="49"/>
      <c r="G10" s="49"/>
      <c r="H10" s="49"/>
      <c r="I10" s="49"/>
      <c r="J10" s="49"/>
    </row>
    <row r="11" spans="1:13">
      <c r="A11" s="49"/>
      <c r="B11" s="49"/>
      <c r="C11" s="189" t="s">
        <v>74</v>
      </c>
      <c r="D11" s="189"/>
      <c r="E11" s="189"/>
      <c r="F11" s="189"/>
      <c r="G11" s="53"/>
      <c r="H11" s="49"/>
      <c r="I11" s="49"/>
      <c r="J11" s="49"/>
      <c r="M11" t="s">
        <v>169</v>
      </c>
    </row>
    <row r="12" spans="1:13">
      <c r="A12" s="49"/>
      <c r="B12" s="49"/>
      <c r="C12" s="189" t="s">
        <v>75</v>
      </c>
      <c r="D12" s="189"/>
      <c r="E12" s="189"/>
      <c r="F12" s="189"/>
      <c r="G12" s="53"/>
      <c r="H12" s="49"/>
      <c r="I12" s="49"/>
      <c r="J12" s="49"/>
      <c r="M12" s="3">
        <f>G12/12</f>
        <v>0</v>
      </c>
    </row>
    <row r="13" spans="1:13">
      <c r="A13" s="49"/>
      <c r="B13" s="49"/>
      <c r="C13" s="256" t="s">
        <v>543</v>
      </c>
      <c r="D13" s="256"/>
      <c r="E13" s="256"/>
      <c r="F13" s="256"/>
      <c r="G13" s="256"/>
      <c r="H13" s="49"/>
      <c r="I13" s="49"/>
      <c r="J13" s="49"/>
    </row>
    <row r="14" spans="1:13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3">
      <c r="A15" s="49"/>
      <c r="B15" s="49"/>
      <c r="C15" s="49"/>
      <c r="D15" s="189" t="s">
        <v>7</v>
      </c>
      <c r="E15" s="189"/>
      <c r="F15" s="243">
        <f>IF(M9&lt;M12,M9,M12)</f>
        <v>0</v>
      </c>
      <c r="G15" s="243"/>
      <c r="H15" s="49"/>
      <c r="I15" s="49"/>
      <c r="J15" s="49"/>
    </row>
    <row r="16" spans="1:13">
      <c r="A16" s="49"/>
      <c r="B16" s="49"/>
      <c r="C16" s="49"/>
      <c r="D16" s="49"/>
      <c r="E16" s="49"/>
      <c r="F16" s="49"/>
      <c r="G16" s="49"/>
      <c r="H16" s="49"/>
      <c r="I16" s="49"/>
      <c r="J16" s="49"/>
    </row>
    <row r="17" spans="1:10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10" hidden="1">
      <c r="A18" s="1"/>
      <c r="B18" s="1"/>
      <c r="C18" s="1"/>
      <c r="D18" s="1"/>
      <c r="E18" s="1"/>
      <c r="F18" s="1"/>
      <c r="G18" s="1"/>
      <c r="H18" s="1"/>
      <c r="I18" s="1"/>
    </row>
    <row r="19" spans="1:10" hidden="1">
      <c r="A19" s="1"/>
      <c r="B19" s="1"/>
      <c r="C19" s="1"/>
      <c r="D19" s="1"/>
      <c r="E19" s="1"/>
      <c r="F19" s="1"/>
      <c r="G19" s="1"/>
      <c r="H19" s="1"/>
      <c r="I19" s="1"/>
    </row>
    <row r="33" customFormat="1" hidden="1"/>
    <row r="34" customFormat="1" hidden="1"/>
    <row r="35" customFormat="1" hidden="1"/>
    <row r="36" customFormat="1" hidden="1"/>
    <row r="37" customFormat="1" hidden="1"/>
  </sheetData>
  <sheetProtection algorithmName="SHA-512" hashValue="3xVqBKZW/w0NzRxPl85AhjlP4bf1LQwGxPbUJApz3aLoK+GmcFgiiqey10tQwllclIzDmzPvElXObwtqNZm06w==" saltValue="tE2QvVLnLeWRuFqzdq2k4w==" spinCount="100000" sheet="1" objects="1" scenarios="1" selectLockedCells="1"/>
  <mergeCells count="8">
    <mergeCell ref="A1:J4"/>
    <mergeCell ref="D15:E15"/>
    <mergeCell ref="F15:G15"/>
    <mergeCell ref="C11:F11"/>
    <mergeCell ref="C12:F12"/>
    <mergeCell ref="B7:G7"/>
    <mergeCell ref="B9:H9"/>
    <mergeCell ref="C13:G13"/>
  </mergeCells>
  <conditionalFormatting sqref="B9:H9">
    <cfRule type="expression" dxfId="186" priority="8">
      <formula>H7="No"</formula>
    </cfRule>
  </conditionalFormatting>
  <conditionalFormatting sqref="C11:F11">
    <cfRule type="expression" dxfId="185" priority="7">
      <formula>H7="Yes"</formula>
    </cfRule>
  </conditionalFormatting>
  <conditionalFormatting sqref="G11">
    <cfRule type="expression" dxfId="184" priority="6">
      <formula>H7="Yes"</formula>
    </cfRule>
  </conditionalFormatting>
  <conditionalFormatting sqref="C12:F12">
    <cfRule type="expression" dxfId="183" priority="5">
      <formula>H7="Yes"</formula>
    </cfRule>
  </conditionalFormatting>
  <conditionalFormatting sqref="G12">
    <cfRule type="expression" dxfId="182" priority="4">
      <formula>H7="Yes"</formula>
    </cfRule>
  </conditionalFormatting>
  <conditionalFormatting sqref="D15:E15">
    <cfRule type="expression" dxfId="181" priority="3">
      <formula>H7="Yes"</formula>
    </cfRule>
  </conditionalFormatting>
  <conditionalFormatting sqref="F15:G15">
    <cfRule type="expression" dxfId="180" priority="2">
      <formula>H7="Yes"</formula>
    </cfRule>
  </conditionalFormatting>
  <conditionalFormatting sqref="C13:G13">
    <cfRule type="expression" dxfId="179" priority="1">
      <formula>H7="Yes"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3" r:id="rId4" name="Button 3">
              <controlPr locked="0" defaultSize="0" print="0" autoFill="0" autoPict="0" macro="[0]!CapitalGains_Click">
                <anchor moveWithCells="1" sizeWithCells="1">
                  <from>
                    <xdr:col>8</xdr:col>
                    <xdr:colOff>590550</xdr:colOff>
                    <xdr:row>6</xdr:row>
                    <xdr:rowOff>142875</xdr:rowOff>
                  </from>
                  <to>
                    <xdr:col>9</xdr:col>
                    <xdr:colOff>619125</xdr:colOff>
                    <xdr:row>6</xdr:row>
                    <xdr:rowOff>619125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21B110-F8DF-49E3-8823-5387D8449B50}">
          <x14:formula1>
            <xm:f>Lists!$E$11:$E$13</xm:f>
          </x14:formula1>
          <xm:sqref>H7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27896-25E2-4FE7-918E-5C6DE92D4E4F}">
  <sheetPr codeName="Sheet14"/>
  <dimension ref="A1:I37"/>
  <sheetViews>
    <sheetView workbookViewId="0">
      <selection activeCell="G7" sqref="G7"/>
    </sheetView>
  </sheetViews>
  <sheetFormatPr defaultColWidth="0" defaultRowHeight="14.25" zeroHeight="1"/>
  <cols>
    <col min="1" max="1" width="8.875" customWidth="1"/>
    <col min="2" max="2" width="12.125" customWidth="1"/>
    <col min="3" max="5" width="8.875" customWidth="1"/>
    <col min="6" max="6" width="15.75" customWidth="1"/>
    <col min="7" max="7" width="16.125" customWidth="1"/>
    <col min="8" max="9" width="8.875" customWidth="1"/>
    <col min="10" max="16384" width="8.875" hidden="1"/>
  </cols>
  <sheetData>
    <row r="1" spans="1:9" ht="16.5" customHeight="1">
      <c r="A1" s="257" t="s">
        <v>77</v>
      </c>
      <c r="B1" s="257"/>
      <c r="C1" s="257"/>
      <c r="D1" s="257"/>
      <c r="E1" s="257"/>
      <c r="F1" s="257"/>
      <c r="G1" s="257"/>
      <c r="H1" s="257"/>
      <c r="I1" s="257"/>
    </row>
    <row r="2" spans="1:9" ht="16.5" customHeight="1">
      <c r="A2" s="257"/>
      <c r="B2" s="257"/>
      <c r="C2" s="257"/>
      <c r="D2" s="257"/>
      <c r="E2" s="257"/>
      <c r="F2" s="257"/>
      <c r="G2" s="257"/>
      <c r="H2" s="257"/>
      <c r="I2" s="257"/>
    </row>
    <row r="3" spans="1:9" ht="16.5" customHeight="1">
      <c r="A3" s="257"/>
      <c r="B3" s="257"/>
      <c r="C3" s="257"/>
      <c r="D3" s="257"/>
      <c r="E3" s="257"/>
      <c r="F3" s="257"/>
      <c r="G3" s="257"/>
      <c r="H3" s="257"/>
      <c r="I3" s="257"/>
    </row>
    <row r="4" spans="1:9" ht="16.5" customHeight="1">
      <c r="A4" s="257"/>
      <c r="B4" s="257"/>
      <c r="C4" s="257"/>
      <c r="D4" s="257"/>
      <c r="E4" s="257"/>
      <c r="F4" s="257"/>
      <c r="G4" s="257"/>
      <c r="H4" s="257"/>
      <c r="I4" s="257"/>
    </row>
    <row r="5" spans="1:9">
      <c r="A5" s="49"/>
      <c r="B5" s="49"/>
      <c r="C5" s="49"/>
      <c r="D5" s="49"/>
      <c r="E5" s="49"/>
      <c r="F5" s="49"/>
      <c r="G5" s="49"/>
      <c r="H5" s="49"/>
      <c r="I5" s="49"/>
    </row>
    <row r="6" spans="1:9">
      <c r="A6" s="49"/>
      <c r="B6" s="49"/>
      <c r="C6" s="49"/>
      <c r="D6" s="49"/>
      <c r="E6" s="49"/>
      <c r="F6" s="49"/>
      <c r="G6" s="49"/>
      <c r="H6" s="49"/>
      <c r="I6" s="49"/>
    </row>
    <row r="7" spans="1:9">
      <c r="A7" s="49"/>
      <c r="B7" s="153" t="s">
        <v>76</v>
      </c>
      <c r="C7" s="184"/>
      <c r="D7" s="184"/>
      <c r="E7" s="184"/>
      <c r="F7" s="166"/>
      <c r="G7" s="119" t="s">
        <v>29</v>
      </c>
      <c r="H7" s="49"/>
      <c r="I7" s="49"/>
    </row>
    <row r="8" spans="1:9">
      <c r="A8" s="49"/>
      <c r="B8" s="153" t="s">
        <v>79</v>
      </c>
      <c r="C8" s="184"/>
      <c r="D8" s="184"/>
      <c r="E8" s="184"/>
      <c r="F8" s="166"/>
      <c r="G8" s="119" t="s">
        <v>29</v>
      </c>
      <c r="H8" s="49"/>
      <c r="I8" s="49"/>
    </row>
    <row r="9" spans="1:9">
      <c r="A9" s="49"/>
      <c r="B9" s="49"/>
      <c r="C9" s="49"/>
      <c r="D9" s="49"/>
      <c r="E9" s="49"/>
      <c r="F9" s="49"/>
      <c r="G9" s="49"/>
      <c r="H9" s="49"/>
      <c r="I9" s="49"/>
    </row>
    <row r="10" spans="1:9">
      <c r="A10" s="49"/>
      <c r="B10" s="255" t="s">
        <v>78</v>
      </c>
      <c r="C10" s="255"/>
      <c r="D10" s="255"/>
      <c r="E10" s="255"/>
      <c r="F10" s="255"/>
      <c r="G10" s="255"/>
      <c r="H10" s="49"/>
      <c r="I10" s="49"/>
    </row>
    <row r="11" spans="1:9">
      <c r="A11" s="49"/>
      <c r="B11" s="49"/>
      <c r="C11" s="49"/>
      <c r="D11" s="49"/>
      <c r="E11" s="49"/>
      <c r="F11" s="49"/>
      <c r="G11" s="49"/>
      <c r="H11" s="49"/>
      <c r="I11" s="49"/>
    </row>
    <row r="12" spans="1:9">
      <c r="A12" s="49"/>
      <c r="B12" s="49"/>
      <c r="C12" s="189" t="s">
        <v>80</v>
      </c>
      <c r="D12" s="189"/>
      <c r="E12" s="189"/>
      <c r="F12" s="59"/>
      <c r="G12" s="49"/>
      <c r="H12" s="49"/>
      <c r="I12" s="49"/>
    </row>
    <row r="13" spans="1:9">
      <c r="A13" s="49"/>
      <c r="B13" s="49"/>
      <c r="C13" s="49"/>
      <c r="D13" s="49"/>
      <c r="E13" s="49"/>
      <c r="F13" s="49"/>
      <c r="G13" s="49"/>
      <c r="H13" s="49"/>
      <c r="I13" s="49"/>
    </row>
    <row r="14" spans="1:9">
      <c r="A14" s="49"/>
      <c r="B14" s="49"/>
      <c r="C14" s="189" t="s">
        <v>7</v>
      </c>
      <c r="D14" s="189"/>
      <c r="E14" s="189"/>
      <c r="F14" s="61">
        <f>F12</f>
        <v>0</v>
      </c>
      <c r="G14" s="49"/>
      <c r="H14" s="49"/>
      <c r="I14" s="49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 hidden="1">
      <c r="A16" s="1"/>
      <c r="B16" s="1"/>
      <c r="C16" s="1"/>
      <c r="D16" s="1"/>
      <c r="E16" s="1"/>
      <c r="F16" s="1"/>
      <c r="G16" s="1"/>
      <c r="H16" s="1"/>
    </row>
    <row r="17" spans="1:8" hidden="1">
      <c r="A17" s="1"/>
      <c r="B17" s="1"/>
      <c r="C17" s="1"/>
      <c r="D17" s="1"/>
      <c r="E17" s="1"/>
      <c r="F17" s="1"/>
      <c r="G17" s="1"/>
      <c r="H17" s="1"/>
    </row>
    <row r="18" spans="1:8" hidden="1">
      <c r="A18" s="1"/>
      <c r="B18" s="1"/>
      <c r="C18" s="1"/>
      <c r="D18" s="1"/>
      <c r="E18" s="1"/>
      <c r="F18" s="1"/>
      <c r="G18" s="1"/>
      <c r="H18" s="1"/>
    </row>
    <row r="19" spans="1:8" hidden="1">
      <c r="A19" s="1"/>
      <c r="B19" s="1"/>
      <c r="C19" s="1"/>
      <c r="D19" s="1"/>
      <c r="E19" s="1"/>
      <c r="F19" s="1"/>
      <c r="G19" s="1"/>
      <c r="H19" s="1"/>
    </row>
    <row r="33" customFormat="1" hidden="1"/>
    <row r="34" customFormat="1" hidden="1"/>
    <row r="35" customFormat="1" hidden="1"/>
    <row r="36" customFormat="1" hidden="1"/>
    <row r="37" customFormat="1" hidden="1"/>
  </sheetData>
  <sheetProtection algorithmName="SHA-512" hashValue="uHhnA8vx/Hy/dM13/I1GMEEfE8oo64c4DzxdsC6qruHFl7q/PbD7BGxyNhJrVUFx+l+FlUaM9XLIQMV+6mE0Cg==" saltValue="KhQ5P6misdFRH3acg7L2bw==" spinCount="100000" sheet="1" objects="1" scenarios="1" selectLockedCells="1"/>
  <mergeCells count="6">
    <mergeCell ref="A1:I4"/>
    <mergeCell ref="C14:E14"/>
    <mergeCell ref="B7:F7"/>
    <mergeCell ref="B8:F8"/>
    <mergeCell ref="B10:G10"/>
    <mergeCell ref="C12:E12"/>
  </mergeCells>
  <conditionalFormatting sqref="B10:G10">
    <cfRule type="expression" dxfId="178" priority="6">
      <formula>OR(G7="No",G8="No")</formula>
    </cfRule>
  </conditionalFormatting>
  <conditionalFormatting sqref="C12:E12">
    <cfRule type="expression" dxfId="177" priority="5">
      <formula>AND(G7="Yes",G8="Yes")</formula>
    </cfRule>
  </conditionalFormatting>
  <conditionalFormatting sqref="F12">
    <cfRule type="expression" dxfId="176" priority="4">
      <formula>AND(G7="Yes",G8="Yes")</formula>
    </cfRule>
  </conditionalFormatting>
  <conditionalFormatting sqref="F14">
    <cfRule type="expression" dxfId="175" priority="2">
      <formula>AND(G7="Yes",G8="Yes")</formula>
    </cfRule>
  </conditionalFormatting>
  <conditionalFormatting sqref="C14:E14">
    <cfRule type="expression" dxfId="174" priority="1">
      <formula>AND(G7="Yes",G8="Yes")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7" r:id="rId4" name="Button 3">
              <controlPr locked="0" defaultSize="0" print="0" autoFill="0" autoPict="0" macro="[0]!VehicleAllowance_Click">
                <anchor moveWithCells="1" sizeWithCells="1">
                  <from>
                    <xdr:col>7</xdr:col>
                    <xdr:colOff>552450</xdr:colOff>
                    <xdr:row>6</xdr:row>
                    <xdr:rowOff>76200</xdr:rowOff>
                  </from>
                  <to>
                    <xdr:col>8</xdr:col>
                    <xdr:colOff>504825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F578FA-E42D-461E-8135-257CC9AD5FF4}">
          <x14:formula1>
            <xm:f>Lists!$E$11:$E$13</xm:f>
          </x14:formula1>
          <xm:sqref>G7:G8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0D98C-FA12-4363-A8ED-9584ACE8A361}">
  <sheetPr codeName="Sheet15"/>
  <dimension ref="A1:H17"/>
  <sheetViews>
    <sheetView workbookViewId="0">
      <selection activeCell="F6" sqref="F6"/>
    </sheetView>
  </sheetViews>
  <sheetFormatPr defaultColWidth="0" defaultRowHeight="16.5" customHeight="1" zeroHeight="1"/>
  <cols>
    <col min="1" max="1" width="7.625" style="52" customWidth="1"/>
    <col min="2" max="2" width="16.125" style="52" customWidth="1"/>
    <col min="3" max="3" width="9.625" style="52" customWidth="1"/>
    <col min="4" max="4" width="9.125" style="52" customWidth="1"/>
    <col min="5" max="5" width="8.125" style="52" customWidth="1"/>
    <col min="6" max="6" width="16.125" style="52" customWidth="1"/>
    <col min="7" max="8" width="8.875" style="52" customWidth="1"/>
    <col min="9" max="16384" width="8.875" hidden="1"/>
  </cols>
  <sheetData>
    <row r="1" spans="1:8" ht="16.5" customHeight="1">
      <c r="A1" s="143" t="s">
        <v>65</v>
      </c>
      <c r="B1" s="143"/>
      <c r="C1" s="143"/>
      <c r="D1" s="143"/>
      <c r="E1" s="143"/>
      <c r="F1" s="143"/>
      <c r="G1" s="143"/>
      <c r="H1" s="143"/>
    </row>
    <row r="2" spans="1:8" ht="16.5" customHeight="1">
      <c r="A2" s="143"/>
      <c r="B2" s="143"/>
      <c r="C2" s="143"/>
      <c r="D2" s="143"/>
      <c r="E2" s="143"/>
      <c r="F2" s="143"/>
      <c r="G2" s="143"/>
      <c r="H2" s="143"/>
    </row>
    <row r="3" spans="1:8" ht="16.5" customHeight="1">
      <c r="A3" s="143"/>
      <c r="B3" s="143"/>
      <c r="C3" s="143"/>
      <c r="D3" s="143"/>
      <c r="E3" s="143"/>
      <c r="F3" s="143"/>
      <c r="G3" s="143"/>
      <c r="H3" s="143"/>
    </row>
    <row r="4" spans="1:8" ht="16.5" customHeight="1">
      <c r="A4" s="143"/>
      <c r="B4" s="143"/>
      <c r="C4" s="143"/>
      <c r="D4" s="143"/>
      <c r="E4" s="143"/>
      <c r="F4" s="143"/>
      <c r="G4" s="143"/>
      <c r="H4" s="143"/>
    </row>
    <row r="5" spans="1:8" ht="14.25">
      <c r="A5" s="49"/>
      <c r="B5" s="49"/>
      <c r="C5" s="49"/>
      <c r="D5" s="49"/>
      <c r="E5" s="49"/>
      <c r="F5" s="49"/>
      <c r="G5" s="49"/>
      <c r="H5" s="49"/>
    </row>
    <row r="6" spans="1:8" ht="14.25">
      <c r="A6" s="49"/>
      <c r="B6" s="241" t="s">
        <v>59</v>
      </c>
      <c r="C6" s="242"/>
      <c r="D6" s="242"/>
      <c r="E6" s="258"/>
      <c r="F6" s="135" t="s">
        <v>29</v>
      </c>
      <c r="G6" s="49"/>
      <c r="H6" s="49"/>
    </row>
    <row r="7" spans="1:8" ht="14.25">
      <c r="A7" s="49"/>
      <c r="B7" s="241" t="s">
        <v>171</v>
      </c>
      <c r="C7" s="242"/>
      <c r="D7" s="242"/>
      <c r="E7" s="258"/>
      <c r="F7" s="135" t="s">
        <v>29</v>
      </c>
      <c r="G7" s="49"/>
      <c r="H7" s="49"/>
    </row>
    <row r="8" spans="1:8" ht="14.25">
      <c r="A8" s="49"/>
      <c r="B8" s="207"/>
      <c r="C8" s="207"/>
      <c r="D8" s="207"/>
      <c r="E8" s="207"/>
      <c r="F8" s="207"/>
      <c r="G8" s="49"/>
      <c r="H8" s="49"/>
    </row>
    <row r="9" spans="1:8" ht="14.25">
      <c r="A9" s="51"/>
      <c r="B9" s="187" t="s">
        <v>172</v>
      </c>
      <c r="C9" s="187"/>
      <c r="D9" s="187"/>
      <c r="E9" s="187"/>
      <c r="F9" s="187"/>
      <c r="G9" s="187"/>
      <c r="H9" s="51"/>
    </row>
    <row r="10" spans="1:8" ht="14.25">
      <c r="A10" s="49"/>
      <c r="B10" s="189" t="s">
        <v>60</v>
      </c>
      <c r="C10" s="189"/>
      <c r="D10" s="189"/>
      <c r="E10" s="244"/>
      <c r="F10" s="244"/>
      <c r="G10" s="49"/>
      <c r="H10" s="49"/>
    </row>
    <row r="11" spans="1:8" ht="14.25">
      <c r="A11" s="49"/>
      <c r="B11" s="50"/>
      <c r="C11" s="50"/>
      <c r="D11" s="50"/>
      <c r="E11" s="50"/>
      <c r="F11" s="50"/>
      <c r="G11" s="49"/>
      <c r="H11" s="49"/>
    </row>
    <row r="12" spans="1:8" ht="14.25">
      <c r="A12" s="49"/>
      <c r="B12" s="189" t="s">
        <v>7</v>
      </c>
      <c r="C12" s="189"/>
      <c r="D12" s="189"/>
      <c r="E12" s="243">
        <f>E10*1.25</f>
        <v>0</v>
      </c>
      <c r="F12" s="243"/>
      <c r="G12" s="49"/>
      <c r="H12" s="49"/>
    </row>
    <row r="13" spans="1:8" ht="14.25">
      <c r="A13" s="49"/>
      <c r="B13" s="49"/>
      <c r="C13" s="49"/>
      <c r="D13" s="49"/>
      <c r="E13" s="49"/>
      <c r="F13" s="49"/>
      <c r="G13" s="49"/>
      <c r="H13" s="49"/>
    </row>
    <row r="14" spans="1:8" ht="14.25">
      <c r="A14" s="49"/>
      <c r="B14" s="49"/>
      <c r="C14" s="49"/>
      <c r="D14" s="49"/>
      <c r="E14" s="49"/>
      <c r="F14" s="49"/>
      <c r="G14" s="49"/>
      <c r="H14" s="49"/>
    </row>
    <row r="15" spans="1:8" ht="14.25" hidden="1">
      <c r="A15" s="49"/>
      <c r="B15" s="49"/>
      <c r="C15" s="49"/>
      <c r="D15" s="49"/>
      <c r="E15" s="49"/>
      <c r="F15" s="49"/>
      <c r="G15" s="49"/>
    </row>
    <row r="16" spans="1:8" ht="14.25" hidden="1">
      <c r="A16" s="49"/>
      <c r="B16" s="49"/>
      <c r="C16" s="49"/>
      <c r="D16" s="49"/>
      <c r="E16" s="49"/>
      <c r="F16" s="49"/>
      <c r="G16" s="49"/>
    </row>
    <row r="17" spans="1:7" ht="14.25" hidden="1">
      <c r="A17" s="49"/>
      <c r="B17" s="49"/>
      <c r="C17" s="49"/>
      <c r="D17" s="49"/>
      <c r="E17" s="49"/>
      <c r="F17" s="49"/>
      <c r="G17" s="49"/>
    </row>
  </sheetData>
  <sheetProtection algorithmName="SHA-512" hashValue="lgHjUfj8QLe/rFDXLJc/zLMWzgK+kEHQ7A/hO345nDxfPvaQAVY7GZfo3LhKEjD7ucgH4Xk1cgl7qu+5O1AjDg==" saltValue="xjKLKhJVRtO4SpYGEZugng==" spinCount="100000" sheet="1" objects="1" scenarios="1" selectLockedCells="1"/>
  <mergeCells count="9">
    <mergeCell ref="A1:H4"/>
    <mergeCell ref="B7:E7"/>
    <mergeCell ref="B9:G9"/>
    <mergeCell ref="B12:D12"/>
    <mergeCell ref="E12:F12"/>
    <mergeCell ref="B6:E6"/>
    <mergeCell ref="B8:F8"/>
    <mergeCell ref="B10:D10"/>
    <mergeCell ref="E10:F10"/>
  </mergeCells>
  <conditionalFormatting sqref="B8:F8">
    <cfRule type="expression" dxfId="173" priority="9">
      <formula>F6="No"</formula>
    </cfRule>
  </conditionalFormatting>
  <conditionalFormatting sqref="E10:F10">
    <cfRule type="expression" dxfId="172" priority="5">
      <formula>AND(F6="Yes",F7="Yes")</formula>
    </cfRule>
    <cfRule type="expression" dxfId="171" priority="7">
      <formula>F6="No"</formula>
    </cfRule>
  </conditionalFormatting>
  <conditionalFormatting sqref="B10:D10">
    <cfRule type="expression" dxfId="170" priority="6">
      <formula>AND(F6="Yes",F7="Yes")</formula>
    </cfRule>
  </conditionalFormatting>
  <conditionalFormatting sqref="B9:G9">
    <cfRule type="expression" dxfId="169" priority="3">
      <formula>OR(F6="No",F7="No")</formula>
    </cfRule>
  </conditionalFormatting>
  <conditionalFormatting sqref="E12:F12">
    <cfRule type="expression" dxfId="168" priority="2">
      <formula>AND(F6="Yes",F7="Yes")</formula>
    </cfRule>
  </conditionalFormatting>
  <conditionalFormatting sqref="B12:D12">
    <cfRule type="expression" dxfId="167" priority="1">
      <formula>AND(F6="Yes",F7="Yes")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1" r:id="rId4" name="Button 3">
              <controlPr locked="0" defaultSize="0" print="0" autoFill="0" autoPict="0" macro="[0]!Button8_Click">
                <anchor moveWithCells="1" sizeWithCells="1">
                  <from>
                    <xdr:col>16383</xdr:col>
                    <xdr:colOff>0</xdr:colOff>
                    <xdr:row>10</xdr:row>
                    <xdr:rowOff>104775</xdr:rowOff>
                  </from>
                  <to>
                    <xdr:col>16383</xdr:col>
                    <xdr:colOff>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5" name="Button 7">
              <controlPr locked="0" defaultSize="0" print="0" autoFill="0" autoPict="0" macro="[0]!Button7_Click">
                <anchor moveWithCells="1" sizeWithCells="1">
                  <from>
                    <xdr:col>16383</xdr:col>
                    <xdr:colOff>0</xdr:colOff>
                    <xdr:row>12</xdr:row>
                    <xdr:rowOff>76200</xdr:rowOff>
                  </from>
                  <to>
                    <xdr:col>16383</xdr:col>
                    <xdr:colOff>0</xdr:colOff>
                    <xdr:row>1048575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6" name="Button 9">
              <controlPr locked="0" defaultSize="0" print="0" autoFill="0" autoPict="0" macro="[0]!ChildSupport_Click">
                <anchor moveWithCells="1">
                  <from>
                    <xdr:col>6</xdr:col>
                    <xdr:colOff>266700</xdr:colOff>
                    <xdr:row>6</xdr:row>
                    <xdr:rowOff>19050</xdr:rowOff>
                  </from>
                  <to>
                    <xdr:col>7</xdr:col>
                    <xdr:colOff>466725</xdr:colOff>
                    <xdr:row>8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45D0E9-50D3-4C8C-8EBD-97B7FF6A7EA4}">
          <x14:formula1>
            <xm:f>Lists!$E$11:$E$13</xm:f>
          </x14:formula1>
          <xm:sqref>F6:F7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10E66-ECBC-42B5-80E2-7FDB1321EBFE}">
  <sheetPr codeName="Sheet16"/>
  <dimension ref="A1:M38"/>
  <sheetViews>
    <sheetView workbookViewId="0">
      <selection activeCell="G7" sqref="G7"/>
    </sheetView>
  </sheetViews>
  <sheetFormatPr defaultColWidth="0" defaultRowHeight="14.25" zeroHeight="1"/>
  <cols>
    <col min="1" max="1" width="7.375" customWidth="1"/>
    <col min="2" max="2" width="2" customWidth="1"/>
    <col min="3" max="3" width="16.625" customWidth="1"/>
    <col min="4" max="6" width="8.875" customWidth="1"/>
    <col min="7" max="7" width="17.375" customWidth="1"/>
    <col min="8" max="9" width="8.875" customWidth="1"/>
    <col min="10" max="10" width="8.875" hidden="1" customWidth="1"/>
    <col min="11" max="11" width="18.625" hidden="1" customWidth="1"/>
    <col min="12" max="12" width="8.875" hidden="1" customWidth="1"/>
    <col min="13" max="13" width="18.125" hidden="1" customWidth="1"/>
    <col min="14" max="16384" width="8.875" hidden="1"/>
  </cols>
  <sheetData>
    <row r="1" spans="1:13" ht="16.5" customHeight="1">
      <c r="A1" s="143" t="s">
        <v>81</v>
      </c>
      <c r="B1" s="143"/>
      <c r="C1" s="143"/>
      <c r="D1" s="143"/>
      <c r="E1" s="143"/>
      <c r="F1" s="143"/>
      <c r="G1" s="143"/>
      <c r="H1" s="143"/>
      <c r="I1" s="143"/>
    </row>
    <row r="2" spans="1:13" ht="16.5" customHeight="1">
      <c r="A2" s="143"/>
      <c r="B2" s="143"/>
      <c r="C2" s="143"/>
      <c r="D2" s="143"/>
      <c r="E2" s="143"/>
      <c r="F2" s="143"/>
      <c r="G2" s="143"/>
      <c r="H2" s="143"/>
      <c r="I2" s="143"/>
    </row>
    <row r="3" spans="1:13" ht="16.5" customHeight="1">
      <c r="A3" s="143"/>
      <c r="B3" s="143"/>
      <c r="C3" s="143"/>
      <c r="D3" s="143"/>
      <c r="E3" s="143"/>
      <c r="F3" s="143"/>
      <c r="G3" s="143"/>
      <c r="H3" s="143"/>
      <c r="I3" s="143"/>
    </row>
    <row r="4" spans="1:13" ht="16.5" customHeight="1">
      <c r="A4" s="143"/>
      <c r="B4" s="143"/>
      <c r="C4" s="143"/>
      <c r="D4" s="143"/>
      <c r="E4" s="143"/>
      <c r="F4" s="143"/>
      <c r="G4" s="143"/>
      <c r="H4" s="143"/>
      <c r="I4" s="143"/>
    </row>
    <row r="5" spans="1:13" s="1" customFormat="1">
      <c r="A5" s="49"/>
      <c r="B5" s="49"/>
      <c r="C5" s="49"/>
      <c r="D5" s="49"/>
      <c r="E5" s="49"/>
      <c r="F5" s="49"/>
      <c r="G5" s="49"/>
      <c r="H5" s="49"/>
      <c r="I5" s="49"/>
    </row>
    <row r="6" spans="1:13" s="1" customFormat="1">
      <c r="A6" s="49"/>
      <c r="B6" s="49"/>
      <c r="C6" s="49"/>
      <c r="D6" s="49"/>
      <c r="E6" s="49"/>
      <c r="F6" s="49"/>
      <c r="G6" s="49"/>
      <c r="H6" s="49"/>
      <c r="I6" s="49"/>
    </row>
    <row r="7" spans="1:13" s="1" customFormat="1">
      <c r="A7" s="49"/>
      <c r="B7" s="153" t="s">
        <v>82</v>
      </c>
      <c r="C7" s="184"/>
      <c r="D7" s="184"/>
      <c r="E7" s="184"/>
      <c r="F7" s="154"/>
      <c r="G7" s="133" t="s">
        <v>29</v>
      </c>
      <c r="H7" s="49"/>
      <c r="I7" s="49"/>
    </row>
    <row r="8" spans="1:13" s="1" customFormat="1">
      <c r="A8" s="49"/>
      <c r="B8" s="49"/>
      <c r="C8" s="49"/>
      <c r="D8" s="49"/>
      <c r="E8" s="49"/>
      <c r="F8" s="49"/>
      <c r="G8" s="49"/>
      <c r="H8" s="49"/>
      <c r="I8" s="49"/>
      <c r="K8" s="1" t="s">
        <v>87</v>
      </c>
      <c r="M8" s="1" t="s">
        <v>89</v>
      </c>
    </row>
    <row r="9" spans="1:13" s="1" customFormat="1">
      <c r="A9" s="49"/>
      <c r="B9" s="187" t="s">
        <v>83</v>
      </c>
      <c r="C9" s="187"/>
      <c r="D9" s="187"/>
      <c r="E9" s="187"/>
      <c r="F9" s="187"/>
      <c r="G9" s="187"/>
      <c r="H9" s="49"/>
      <c r="I9" s="49"/>
      <c r="K9" s="8">
        <f>(G10+G11)/24</f>
        <v>0</v>
      </c>
      <c r="M9" s="8">
        <f>G10/12</f>
        <v>0</v>
      </c>
    </row>
    <row r="10" spans="1:13" s="1" customFormat="1">
      <c r="A10" s="49"/>
      <c r="B10" s="49"/>
      <c r="C10" s="189" t="s">
        <v>85</v>
      </c>
      <c r="D10" s="189"/>
      <c r="E10" s="189"/>
      <c r="F10" s="189"/>
      <c r="G10" s="59"/>
      <c r="H10" s="49"/>
      <c r="I10" s="49"/>
    </row>
    <row r="11" spans="1:13" s="1" customFormat="1">
      <c r="A11" s="49"/>
      <c r="B11" s="49"/>
      <c r="C11" s="189" t="s">
        <v>86</v>
      </c>
      <c r="D11" s="189"/>
      <c r="E11" s="189"/>
      <c r="F11" s="189"/>
      <c r="G11" s="59"/>
      <c r="H11" s="49"/>
      <c r="I11" s="49"/>
    </row>
    <row r="12" spans="1:13" s="1" customFormat="1">
      <c r="A12" s="49"/>
      <c r="B12" s="49"/>
      <c r="C12" s="49"/>
      <c r="D12" s="49"/>
      <c r="E12" s="49"/>
      <c r="F12" s="49"/>
      <c r="G12" s="49"/>
      <c r="H12" s="49"/>
      <c r="I12" s="49"/>
      <c r="K12" s="1" t="s">
        <v>90</v>
      </c>
    </row>
    <row r="13" spans="1:13" s="1" customFormat="1">
      <c r="A13" s="49"/>
      <c r="B13" s="49"/>
      <c r="C13" s="49"/>
      <c r="D13" s="49"/>
      <c r="E13" s="49"/>
      <c r="F13" s="49"/>
      <c r="G13" s="49"/>
      <c r="H13" s="49"/>
      <c r="I13" s="49"/>
      <c r="K13" s="8">
        <f>G11/12</f>
        <v>0</v>
      </c>
    </row>
    <row r="14" spans="1:13" s="1" customFormat="1">
      <c r="A14" s="49"/>
      <c r="B14" s="49"/>
      <c r="C14" s="49"/>
      <c r="D14" s="189" t="s">
        <v>88</v>
      </c>
      <c r="E14" s="189"/>
      <c r="F14" s="189"/>
      <c r="G14" s="61">
        <f>IF(K13&lt;M9,K13,K9)</f>
        <v>0</v>
      </c>
      <c r="H14" s="49"/>
      <c r="I14" s="49"/>
    </row>
    <row r="15" spans="1:13" s="1" customFormat="1">
      <c r="A15" s="49"/>
      <c r="B15" s="49"/>
      <c r="C15" s="49"/>
      <c r="D15" s="49"/>
      <c r="E15" s="49"/>
      <c r="F15" s="49"/>
      <c r="G15" s="49"/>
      <c r="H15" s="49"/>
      <c r="I15" s="49"/>
    </row>
    <row r="16" spans="1:13" s="1" customFormat="1">
      <c r="A16" s="49"/>
      <c r="B16" s="49"/>
      <c r="C16" s="49"/>
      <c r="D16" s="49"/>
      <c r="E16" s="49"/>
      <c r="F16" s="49"/>
      <c r="G16" s="49"/>
      <c r="H16" s="49"/>
      <c r="I16" s="49"/>
    </row>
    <row r="17" spans="1:9" s="1" customFormat="1">
      <c r="A17" s="49"/>
      <c r="B17" s="49"/>
      <c r="C17" s="49"/>
      <c r="D17" s="49"/>
      <c r="E17" s="49"/>
      <c r="F17" s="49"/>
      <c r="G17" s="49"/>
      <c r="H17" s="49"/>
      <c r="I17" s="49"/>
    </row>
    <row r="18" spans="1:9" s="1" customFormat="1" ht="32.25" customHeight="1">
      <c r="A18" s="259" t="s">
        <v>84</v>
      </c>
      <c r="B18" s="259"/>
      <c r="C18" s="259"/>
      <c r="D18" s="259"/>
      <c r="E18" s="259"/>
      <c r="F18" s="259"/>
      <c r="G18" s="259"/>
      <c r="H18" s="259"/>
      <c r="I18" s="49"/>
    </row>
    <row r="19" spans="1:9" s="1" customFormat="1">
      <c r="A19" s="49"/>
      <c r="B19" s="49"/>
      <c r="C19" s="49"/>
      <c r="D19" s="49"/>
      <c r="E19" s="49"/>
      <c r="F19" s="49"/>
      <c r="G19" s="49"/>
      <c r="H19" s="49"/>
      <c r="I19" s="49"/>
    </row>
    <row r="20" spans="1:9" s="1" customFormat="1">
      <c r="A20" s="49"/>
      <c r="B20" s="49"/>
      <c r="C20" s="49"/>
      <c r="D20" s="49"/>
      <c r="E20" s="49"/>
      <c r="F20" s="49"/>
      <c r="G20" s="49"/>
      <c r="H20" s="49"/>
      <c r="I20" s="49"/>
    </row>
    <row r="33" customFormat="1" hidden="1"/>
    <row r="34" customFormat="1" hidden="1"/>
    <row r="35" customFormat="1" hidden="1"/>
    <row r="36" customFormat="1" hidden="1"/>
    <row r="37" customFormat="1" hidden="1"/>
    <row r="38" customFormat="1" hidden="1"/>
  </sheetData>
  <sheetProtection algorithmName="SHA-512" hashValue="06xU0tt8h/AZ7sQKdB5Q5PVWv+j/55kJboxxJ+8FnQeQs5rXCekKqHl9dqHcx7Y1ROQ+1aBh8jD2hylL3JethQ==" saltValue="DBEUbmAjB5BF1Hp9G8tQhQ==" spinCount="100000" sheet="1" objects="1" scenarios="1" selectLockedCells="1"/>
  <mergeCells count="7">
    <mergeCell ref="A1:I4"/>
    <mergeCell ref="B7:F7"/>
    <mergeCell ref="B9:G9"/>
    <mergeCell ref="A18:H18"/>
    <mergeCell ref="C10:F10"/>
    <mergeCell ref="C11:F11"/>
    <mergeCell ref="D14:F14"/>
  </mergeCells>
  <conditionalFormatting sqref="B9:G9">
    <cfRule type="expression" dxfId="166" priority="9">
      <formula>G7="No"</formula>
    </cfRule>
  </conditionalFormatting>
  <conditionalFormatting sqref="C10:F10">
    <cfRule type="expression" dxfId="165" priority="8">
      <formula>G7="yes"</formula>
    </cfRule>
  </conditionalFormatting>
  <conditionalFormatting sqref="C11:F11">
    <cfRule type="expression" dxfId="164" priority="7">
      <formula>G7="yes"</formula>
    </cfRule>
  </conditionalFormatting>
  <conditionalFormatting sqref="G10">
    <cfRule type="expression" dxfId="163" priority="6">
      <formula>G7="yes"</formula>
    </cfRule>
  </conditionalFormatting>
  <conditionalFormatting sqref="G11">
    <cfRule type="expression" dxfId="162" priority="5">
      <formula>G7="yes"</formula>
    </cfRule>
  </conditionalFormatting>
  <conditionalFormatting sqref="D14:F14">
    <cfRule type="expression" dxfId="161" priority="4">
      <formula>G7="yes"</formula>
    </cfRule>
  </conditionalFormatting>
  <conditionalFormatting sqref="G14">
    <cfRule type="expression" dxfId="160" priority="1">
      <formula>OR(G7="Select Option",G7="No")</formula>
    </cfRule>
    <cfRule type="expression" dxfId="159" priority="3">
      <formula>G7="yes"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7" r:id="rId4" name="Button 5">
              <controlPr locked="0" defaultSize="0" print="0" autoFill="0" autoPict="0" macro="[0]!DividendsInterest_Click">
                <anchor moveWithCells="1" sizeWithCells="1">
                  <from>
                    <xdr:col>7</xdr:col>
                    <xdr:colOff>304800</xdr:colOff>
                    <xdr:row>6</xdr:row>
                    <xdr:rowOff>219075</xdr:rowOff>
                  </from>
                  <to>
                    <xdr:col>8</xdr:col>
                    <xdr:colOff>504825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381267-FEED-4FD7-9FC0-39EF27FE8A5E}">
          <x14:formula1>
            <xm:f>Lists!$E$11:$E$13</xm:f>
          </x14:formula1>
          <xm:sqref>G7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7385D-D80F-4A21-92E1-6650AFB51EFB}">
  <sheetPr codeName="Sheet17"/>
  <dimension ref="A1:H19"/>
  <sheetViews>
    <sheetView workbookViewId="0">
      <selection activeCell="F6" sqref="F6"/>
    </sheetView>
  </sheetViews>
  <sheetFormatPr defaultColWidth="0" defaultRowHeight="14.25" zeroHeight="1"/>
  <cols>
    <col min="1" max="1" width="8.875" style="52" customWidth="1"/>
    <col min="2" max="2" width="14.75" style="52" customWidth="1"/>
    <col min="3" max="3" width="14.125" style="52" customWidth="1"/>
    <col min="4" max="4" width="15.125" style="52" customWidth="1"/>
    <col min="5" max="5" width="12.375" style="52" customWidth="1"/>
    <col min="6" max="6" width="16.125" style="52" customWidth="1"/>
    <col min="7" max="8" width="8.875" style="52" customWidth="1"/>
    <col min="9" max="16384" width="8.875" hidden="1"/>
  </cols>
  <sheetData>
    <row r="1" spans="1:8" ht="16.5" customHeight="1">
      <c r="A1" s="143" t="s">
        <v>94</v>
      </c>
      <c r="B1" s="143"/>
      <c r="C1" s="143"/>
      <c r="D1" s="143"/>
      <c r="E1" s="143"/>
      <c r="F1" s="143"/>
      <c r="G1" s="143"/>
      <c r="H1" s="143"/>
    </row>
    <row r="2" spans="1:8" ht="16.5" customHeight="1">
      <c r="A2" s="143"/>
      <c r="B2" s="143"/>
      <c r="C2" s="143"/>
      <c r="D2" s="143"/>
      <c r="E2" s="143"/>
      <c r="F2" s="143"/>
      <c r="G2" s="143"/>
      <c r="H2" s="143"/>
    </row>
    <row r="3" spans="1:8" ht="16.5" customHeight="1">
      <c r="A3" s="143"/>
      <c r="B3" s="143"/>
      <c r="C3" s="143"/>
      <c r="D3" s="143"/>
      <c r="E3" s="143"/>
      <c r="F3" s="143"/>
      <c r="G3" s="143"/>
      <c r="H3" s="143"/>
    </row>
    <row r="4" spans="1:8" ht="16.5" customHeight="1">
      <c r="A4" s="143"/>
      <c r="B4" s="143"/>
      <c r="C4" s="143"/>
      <c r="D4" s="143"/>
      <c r="E4" s="143"/>
      <c r="F4" s="143"/>
      <c r="G4" s="143"/>
      <c r="H4" s="143"/>
    </row>
    <row r="5" spans="1:8" s="1" customFormat="1">
      <c r="A5" s="49"/>
      <c r="B5" s="49"/>
      <c r="C5" s="49"/>
      <c r="D5" s="49"/>
      <c r="E5" s="49"/>
      <c r="F5" s="49"/>
      <c r="G5" s="49"/>
      <c r="H5" s="49"/>
    </row>
    <row r="6" spans="1:8" s="1" customFormat="1">
      <c r="A6" s="49"/>
      <c r="B6" s="241" t="s">
        <v>95</v>
      </c>
      <c r="C6" s="242"/>
      <c r="D6" s="242"/>
      <c r="E6" s="242"/>
      <c r="F6" s="133" t="s">
        <v>29</v>
      </c>
      <c r="G6" s="49"/>
      <c r="H6" s="49"/>
    </row>
    <row r="7" spans="1:8" s="1" customFormat="1">
      <c r="A7" s="49"/>
      <c r="B7" s="189" t="s">
        <v>96</v>
      </c>
      <c r="C7" s="189"/>
      <c r="D7" s="189"/>
      <c r="E7" s="189"/>
      <c r="F7" s="79" t="s">
        <v>29</v>
      </c>
      <c r="G7" s="49"/>
      <c r="H7" s="49"/>
    </row>
    <row r="8" spans="1:8" s="1" customFormat="1">
      <c r="A8" s="49"/>
      <c r="B8" s="189" t="s">
        <v>97</v>
      </c>
      <c r="C8" s="189"/>
      <c r="D8" s="189"/>
      <c r="E8" s="189"/>
      <c r="F8" s="79" t="s">
        <v>29</v>
      </c>
      <c r="G8" s="49"/>
      <c r="H8" s="49"/>
    </row>
    <row r="9" spans="1:8" s="1" customFormat="1">
      <c r="A9" s="49"/>
      <c r="B9" s="49"/>
      <c r="C9" s="49"/>
      <c r="D9" s="49"/>
      <c r="E9" s="49"/>
      <c r="F9" s="49"/>
      <c r="G9" s="49"/>
      <c r="H9" s="49"/>
    </row>
    <row r="10" spans="1:8" s="1" customFormat="1">
      <c r="A10" s="49"/>
      <c r="B10" s="187" t="s">
        <v>98</v>
      </c>
      <c r="C10" s="187"/>
      <c r="D10" s="187"/>
      <c r="E10" s="187"/>
      <c r="F10" s="187"/>
      <c r="G10" s="49"/>
      <c r="H10" s="49"/>
    </row>
    <row r="11" spans="1:8" s="1" customFormat="1">
      <c r="A11" s="49"/>
      <c r="B11" s="49"/>
      <c r="C11" s="189" t="s">
        <v>99</v>
      </c>
      <c r="D11" s="189"/>
      <c r="E11" s="189"/>
      <c r="F11" s="77"/>
      <c r="G11" s="49"/>
      <c r="H11" s="49"/>
    </row>
    <row r="12" spans="1:8" s="1" customFormat="1">
      <c r="A12" s="49"/>
      <c r="B12" s="49"/>
      <c r="C12" s="49"/>
      <c r="D12" s="49"/>
      <c r="E12" s="49"/>
      <c r="F12" s="49"/>
      <c r="G12" s="49"/>
      <c r="H12" s="49"/>
    </row>
    <row r="13" spans="1:8" s="1" customFormat="1">
      <c r="A13" s="49"/>
      <c r="B13" s="49"/>
      <c r="C13" s="189" t="s">
        <v>7</v>
      </c>
      <c r="D13" s="189"/>
      <c r="E13" s="189"/>
      <c r="F13" s="78">
        <f>F11</f>
        <v>0</v>
      </c>
      <c r="G13" s="49"/>
      <c r="H13" s="49"/>
    </row>
    <row r="14" spans="1:8">
      <c r="A14" s="49"/>
      <c r="B14" s="49"/>
      <c r="C14" s="49"/>
      <c r="D14" s="49"/>
      <c r="E14" s="49"/>
      <c r="F14" s="49"/>
      <c r="G14" s="49"/>
    </row>
    <row r="15" spans="1:8" hidden="1">
      <c r="A15" s="49"/>
      <c r="B15" s="49"/>
      <c r="C15" s="49"/>
      <c r="D15" s="49"/>
      <c r="E15" s="49"/>
      <c r="F15" s="49"/>
      <c r="G15" s="49"/>
    </row>
    <row r="16" spans="1:8" hidden="1">
      <c r="A16" s="49"/>
      <c r="B16" s="49"/>
      <c r="C16" s="49"/>
      <c r="D16" s="49"/>
      <c r="E16" s="49"/>
      <c r="F16" s="49"/>
      <c r="G16" s="49"/>
    </row>
    <row r="17" spans="1:7" hidden="1">
      <c r="A17" s="49"/>
      <c r="B17" s="49"/>
      <c r="C17" s="49"/>
      <c r="D17" s="49"/>
      <c r="E17" s="49"/>
      <c r="F17" s="49"/>
      <c r="G17" s="49"/>
    </row>
    <row r="18" spans="1:7" hidden="1">
      <c r="A18" s="49"/>
      <c r="B18" s="49"/>
      <c r="C18" s="49"/>
      <c r="D18" s="49"/>
      <c r="E18" s="49"/>
      <c r="F18" s="49"/>
      <c r="G18" s="49"/>
    </row>
    <row r="19" spans="1:7" hidden="1">
      <c r="A19" s="49"/>
      <c r="B19" s="49"/>
      <c r="C19" s="49"/>
      <c r="D19" s="49"/>
      <c r="E19" s="49"/>
      <c r="F19" s="49"/>
      <c r="G19" s="49"/>
    </row>
  </sheetData>
  <sheetProtection algorithmName="SHA-512" hashValue="BPGS0JnAvu6HYf30htHV8VsWV8JDXno4rPOmCqQyhZwjdUBR+Q3QCCQQ6FwdhjWM+cpU11dCKJtUVGMFX/YJ9Q==" saltValue="3zOPZeHK2p85WqZFLC6mRg==" spinCount="100000" sheet="1" objects="1" scenarios="1" selectLockedCells="1"/>
  <mergeCells count="7">
    <mergeCell ref="C13:E13"/>
    <mergeCell ref="A1:H4"/>
    <mergeCell ref="C11:E11"/>
    <mergeCell ref="B6:E6"/>
    <mergeCell ref="B7:E7"/>
    <mergeCell ref="B8:E8"/>
    <mergeCell ref="B10:F10"/>
  </mergeCells>
  <conditionalFormatting sqref="B7:E7">
    <cfRule type="expression" dxfId="158" priority="15">
      <formula>F6="No"</formula>
    </cfRule>
  </conditionalFormatting>
  <conditionalFormatting sqref="F7">
    <cfRule type="expression" dxfId="157" priority="14">
      <formula>F6="No"</formula>
    </cfRule>
  </conditionalFormatting>
  <conditionalFormatting sqref="B8:E8">
    <cfRule type="expression" dxfId="156" priority="13">
      <formula>F6="No"</formula>
    </cfRule>
  </conditionalFormatting>
  <conditionalFormatting sqref="F8">
    <cfRule type="expression" dxfId="155" priority="12">
      <formula>F6="No"</formula>
    </cfRule>
  </conditionalFormatting>
  <conditionalFormatting sqref="B10:F10">
    <cfRule type="expression" dxfId="154" priority="11">
      <formula>OR(F7="No",F8="Yes")</formula>
    </cfRule>
  </conditionalFormatting>
  <conditionalFormatting sqref="F11">
    <cfRule type="expression" dxfId="153" priority="5">
      <formula>AND(F6="No",F7="Yes",F8="No")</formula>
    </cfRule>
    <cfRule type="expression" dxfId="152" priority="9">
      <formula>F6="Yes"</formula>
    </cfRule>
  </conditionalFormatting>
  <conditionalFormatting sqref="C11:E11">
    <cfRule type="expression" dxfId="151" priority="6">
      <formula>AND(F6="No",F7="Yes",F8="No")</formula>
    </cfRule>
    <cfRule type="expression" dxfId="150" priority="7">
      <formula>F6="Yes"</formula>
    </cfRule>
  </conditionalFormatting>
  <conditionalFormatting sqref="F13">
    <cfRule type="expression" dxfId="149" priority="2">
      <formula>F6="Yes"</formula>
    </cfRule>
    <cfRule type="expression" dxfId="148" priority="4">
      <formula>AND(F6="No",F7="Yes",F8="No")</formula>
    </cfRule>
  </conditionalFormatting>
  <conditionalFormatting sqref="C13:E13">
    <cfRule type="expression" dxfId="147" priority="1">
      <formula>F6="Yes"</formula>
    </cfRule>
    <cfRule type="expression" dxfId="146" priority="3">
      <formula>AND(F6="No",F7="Yes",F8="No")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9" r:id="rId3" name="Button 3">
              <controlPr locked="0" defaultSize="0" print="0" autoFill="0" autoPict="0" macro="[0]!FosterCare_Click">
                <anchor moveWithCells="1" sizeWithCells="1">
                  <from>
                    <xdr:col>6</xdr:col>
                    <xdr:colOff>333375</xdr:colOff>
                    <xdr:row>5</xdr:row>
                    <xdr:rowOff>161925</xdr:rowOff>
                  </from>
                  <to>
                    <xdr:col>7</xdr:col>
                    <xdr:colOff>533400</xdr:colOff>
                    <xdr:row>6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C978A0-0156-4F95-BC80-5DC5C97CC1C3}">
          <x14:formula1>
            <xm:f>Lists!$E$11:$E$13</xm:f>
          </x14:formula1>
          <xm:sqref>F6 F7 F8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9E219-5FCA-45FC-83A1-AF7709436E62}">
  <sheetPr codeName="Sheet18"/>
  <dimension ref="A1:I20"/>
  <sheetViews>
    <sheetView workbookViewId="0">
      <selection activeCell="G6" sqref="G6"/>
    </sheetView>
  </sheetViews>
  <sheetFormatPr defaultColWidth="0" defaultRowHeight="14.25" zeroHeight="1"/>
  <cols>
    <col min="1" max="1" width="8.875" customWidth="1"/>
    <col min="2" max="2" width="14" customWidth="1"/>
    <col min="3" max="3" width="14.25" customWidth="1"/>
    <col min="4" max="4" width="12.875" customWidth="1"/>
    <col min="5" max="5" width="13.625" customWidth="1"/>
    <col min="6" max="6" width="13.375" customWidth="1"/>
    <col min="7" max="7" width="16.75" customWidth="1"/>
    <col min="8" max="9" width="8.875" customWidth="1"/>
    <col min="10" max="16384" width="8.875" hidden="1"/>
  </cols>
  <sheetData>
    <row r="1" spans="1:9" ht="16.5" customHeight="1">
      <c r="A1" s="247" t="s">
        <v>101</v>
      </c>
      <c r="B1" s="247"/>
      <c r="C1" s="247"/>
      <c r="D1" s="247"/>
      <c r="E1" s="247"/>
      <c r="F1" s="247"/>
      <c r="G1" s="247"/>
      <c r="H1" s="247"/>
      <c r="I1" s="247"/>
    </row>
    <row r="2" spans="1:9" ht="16.5" customHeight="1">
      <c r="A2" s="247"/>
      <c r="B2" s="247"/>
      <c r="C2" s="247"/>
      <c r="D2" s="247"/>
      <c r="E2" s="247"/>
      <c r="F2" s="247"/>
      <c r="G2" s="247"/>
      <c r="H2" s="247"/>
      <c r="I2" s="247"/>
    </row>
    <row r="3" spans="1:9" ht="16.5" customHeight="1">
      <c r="A3" s="247"/>
      <c r="B3" s="247"/>
      <c r="C3" s="247"/>
      <c r="D3" s="247"/>
      <c r="E3" s="247"/>
      <c r="F3" s="247"/>
      <c r="G3" s="247"/>
      <c r="H3" s="247"/>
      <c r="I3" s="247"/>
    </row>
    <row r="4" spans="1:9" ht="16.5" customHeight="1">
      <c r="A4" s="247"/>
      <c r="B4" s="247"/>
      <c r="C4" s="247"/>
      <c r="D4" s="247"/>
      <c r="E4" s="247"/>
      <c r="F4" s="247"/>
      <c r="G4" s="247"/>
      <c r="H4" s="247"/>
      <c r="I4" s="247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260" t="s">
        <v>102</v>
      </c>
      <c r="C6" s="261"/>
      <c r="D6" s="261"/>
      <c r="E6" s="261"/>
      <c r="F6" s="262"/>
      <c r="G6" s="134" t="s">
        <v>29</v>
      </c>
      <c r="H6" s="1"/>
      <c r="I6" s="1"/>
    </row>
    <row r="7" spans="1:9">
      <c r="A7" s="1"/>
      <c r="B7" s="260" t="s">
        <v>171</v>
      </c>
      <c r="C7" s="261"/>
      <c r="D7" s="261"/>
      <c r="E7" s="261"/>
      <c r="F7" s="262"/>
      <c r="G7" s="134" t="s">
        <v>29</v>
      </c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63" t="s">
        <v>103</v>
      </c>
      <c r="C9" s="263"/>
      <c r="D9" s="263"/>
      <c r="E9" s="263"/>
      <c r="F9" s="263"/>
      <c r="G9" s="263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245" t="s">
        <v>104</v>
      </c>
      <c r="F11" s="245"/>
      <c r="G11" s="57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245" t="s">
        <v>7</v>
      </c>
      <c r="F13" s="245"/>
      <c r="G13" s="58">
        <f>G11</f>
        <v>0</v>
      </c>
      <c r="H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 hidden="1">
      <c r="A15" s="1"/>
      <c r="B15" s="1"/>
      <c r="C15" s="1"/>
      <c r="D15" s="1"/>
      <c r="E15" s="1"/>
      <c r="F15" s="1"/>
      <c r="G15" s="1"/>
      <c r="H15" s="1"/>
    </row>
    <row r="16" spans="1:9" hidden="1">
      <c r="A16" s="1"/>
      <c r="B16" s="1"/>
      <c r="C16" s="1"/>
      <c r="D16" s="1"/>
      <c r="E16" s="1"/>
      <c r="F16" s="1"/>
      <c r="G16" s="1"/>
      <c r="H16" s="1"/>
    </row>
    <row r="17" spans="1:8" hidden="1">
      <c r="A17" s="1"/>
      <c r="B17" s="1"/>
      <c r="C17" s="1"/>
      <c r="D17" s="1"/>
      <c r="E17" s="1"/>
      <c r="F17" s="1"/>
      <c r="G17" s="1"/>
      <c r="H17" s="1"/>
    </row>
    <row r="18" spans="1:8" hidden="1">
      <c r="A18" s="1"/>
      <c r="B18" s="1"/>
      <c r="C18" s="1"/>
      <c r="D18" s="1"/>
      <c r="E18" s="1"/>
      <c r="F18" s="1"/>
      <c r="G18" s="1"/>
      <c r="H18" s="1"/>
    </row>
    <row r="19" spans="1:8" hidden="1">
      <c r="A19" s="1"/>
      <c r="B19" s="1"/>
      <c r="C19" s="1"/>
      <c r="D19" s="1"/>
      <c r="E19" s="1"/>
      <c r="F19" s="1"/>
      <c r="G19" s="1"/>
      <c r="H19" s="1"/>
    </row>
    <row r="20" spans="1:8" hidden="1">
      <c r="A20" s="1"/>
      <c r="B20" s="1"/>
      <c r="C20" s="1"/>
      <c r="D20" s="1"/>
      <c r="E20" s="1"/>
      <c r="F20" s="1"/>
      <c r="G20" s="1"/>
      <c r="H20" s="1"/>
    </row>
  </sheetData>
  <sheetProtection algorithmName="SHA-512" hashValue="mv8tnYWTrLHCfhfALcZ9ydAkXxKUHeL2ZllezIITOliN6OOAeZPLm4uR64qhl0u/sJsc11Avgb+BCDyaCkSSAw==" saltValue="UZZvEH2Ynj9gp9+k0c1iuQ==" spinCount="100000" sheet="1" objects="1" scenarios="1" selectLockedCells="1"/>
  <mergeCells count="6">
    <mergeCell ref="A1:I4"/>
    <mergeCell ref="E13:F13"/>
    <mergeCell ref="B6:F6"/>
    <mergeCell ref="B7:F7"/>
    <mergeCell ref="B9:G9"/>
    <mergeCell ref="E11:F11"/>
  </mergeCells>
  <conditionalFormatting sqref="B9:G9">
    <cfRule type="expression" dxfId="145" priority="5">
      <formula>OR(G6="No",G7="No")</formula>
    </cfRule>
  </conditionalFormatting>
  <conditionalFormatting sqref="E11:F11">
    <cfRule type="expression" dxfId="144" priority="4">
      <formula>AND(G6="Yes",G7="Yes")</formula>
    </cfRule>
  </conditionalFormatting>
  <conditionalFormatting sqref="G11">
    <cfRule type="expression" dxfId="143" priority="3">
      <formula>AND(G6="Yes",G7="Yes")</formula>
    </cfRule>
  </conditionalFormatting>
  <conditionalFormatting sqref="G13">
    <cfRule type="expression" dxfId="142" priority="2">
      <formula>AND(G6="Yes",G7="Yes")</formula>
    </cfRule>
  </conditionalFormatting>
  <conditionalFormatting sqref="E13:F13">
    <cfRule type="expression" dxfId="141" priority="1">
      <formula>AND(G6="Yes",G7="Yes")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2" r:id="rId4" name="Button 2">
              <controlPr locked="0" defaultSize="0" print="0" autoFill="0" autoPict="0" macro="[0]!IRADistribution_Click">
                <anchor moveWithCells="1" sizeWithCells="1">
                  <from>
                    <xdr:col>7</xdr:col>
                    <xdr:colOff>371475</xdr:colOff>
                    <xdr:row>5</xdr:row>
                    <xdr:rowOff>142875</xdr:rowOff>
                  </from>
                  <to>
                    <xdr:col>8</xdr:col>
                    <xdr:colOff>571500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8C6705-745C-491E-8A49-A66F5A847D20}">
          <x14:formula1>
            <xm:f>Lists!$E$11:$E$13</xm:f>
          </x14:formula1>
          <xm:sqref>G6 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65363-D038-43AC-B18D-E485CC7CB866}">
  <sheetPr codeName="Sheet2"/>
  <dimension ref="A1:I69"/>
  <sheetViews>
    <sheetView workbookViewId="0">
      <selection activeCell="E7" sqref="E7:G7"/>
    </sheetView>
  </sheetViews>
  <sheetFormatPr defaultColWidth="0" defaultRowHeight="16.5" customHeight="1" zeroHeight="1"/>
  <cols>
    <col min="1" max="1" width="8.875" customWidth="1"/>
    <col min="2" max="2" width="8.125" customWidth="1"/>
    <col min="3" max="3" width="9.375" customWidth="1"/>
    <col min="4" max="9" width="8.875" customWidth="1"/>
    <col min="10" max="16384" width="8.875" hidden="1"/>
  </cols>
  <sheetData>
    <row r="1" spans="1:9" ht="14.25">
      <c r="A1" s="143" t="s">
        <v>167</v>
      </c>
      <c r="B1" s="143"/>
      <c r="C1" s="143"/>
      <c r="D1" s="143"/>
      <c r="E1" s="143"/>
      <c r="F1" s="143"/>
      <c r="G1" s="143"/>
      <c r="H1" s="143"/>
      <c r="I1" s="143"/>
    </row>
    <row r="2" spans="1:9" ht="14.25">
      <c r="A2" s="143"/>
      <c r="B2" s="143"/>
      <c r="C2" s="143"/>
      <c r="D2" s="143"/>
      <c r="E2" s="143"/>
      <c r="F2" s="143"/>
      <c r="G2" s="143"/>
      <c r="H2" s="143"/>
      <c r="I2" s="143"/>
    </row>
    <row r="3" spans="1:9" ht="14.25">
      <c r="A3" s="143"/>
      <c r="B3" s="143"/>
      <c r="C3" s="143"/>
      <c r="D3" s="143"/>
      <c r="E3" s="143"/>
      <c r="F3" s="143"/>
      <c r="G3" s="143"/>
      <c r="H3" s="143"/>
      <c r="I3" s="143"/>
    </row>
    <row r="4" spans="1:9" ht="14.25">
      <c r="A4" s="143"/>
      <c r="B4" s="143"/>
      <c r="C4" s="143"/>
      <c r="D4" s="143"/>
      <c r="E4" s="143"/>
      <c r="F4" s="143"/>
      <c r="G4" s="143"/>
      <c r="H4" s="143"/>
      <c r="I4" s="143"/>
    </row>
    <row r="5" spans="1:9" ht="14.25">
      <c r="A5" s="152" t="s">
        <v>17</v>
      </c>
      <c r="B5" s="152"/>
      <c r="C5" s="152"/>
      <c r="D5" s="152"/>
      <c r="E5" s="152"/>
      <c r="F5" s="152"/>
      <c r="G5" s="152"/>
      <c r="H5" s="152"/>
      <c r="I5" s="152"/>
    </row>
    <row r="6" spans="1:9" ht="14.25">
      <c r="A6" s="49"/>
      <c r="B6" s="49"/>
      <c r="C6" s="49"/>
      <c r="D6" s="49"/>
      <c r="E6" s="49"/>
      <c r="F6" s="49"/>
      <c r="G6" s="49"/>
      <c r="H6" s="49"/>
      <c r="I6" s="49"/>
    </row>
    <row r="7" spans="1:9" ht="15">
      <c r="A7" s="49"/>
      <c r="B7" s="62"/>
      <c r="C7" s="153" t="s">
        <v>0</v>
      </c>
      <c r="D7" s="154"/>
      <c r="E7" s="155"/>
      <c r="F7" s="156"/>
      <c r="G7" s="157"/>
      <c r="H7" s="49"/>
      <c r="I7" s="49"/>
    </row>
    <row r="8" spans="1:9" ht="15">
      <c r="A8" s="49"/>
      <c r="B8" s="62"/>
      <c r="C8" s="153" t="s">
        <v>1</v>
      </c>
      <c r="D8" s="154"/>
      <c r="E8" s="155"/>
      <c r="F8" s="156"/>
      <c r="G8" s="157"/>
      <c r="H8" s="49"/>
      <c r="I8" s="49"/>
    </row>
    <row r="9" spans="1:9" ht="14.25">
      <c r="A9" s="49"/>
      <c r="B9" s="49"/>
      <c r="C9" s="49"/>
      <c r="D9" s="49"/>
      <c r="E9" s="60"/>
      <c r="F9" s="60"/>
      <c r="G9" s="60"/>
      <c r="H9" s="49"/>
      <c r="I9" s="49"/>
    </row>
    <row r="10" spans="1:9" ht="14.25">
      <c r="A10" s="49"/>
      <c r="B10" s="49"/>
      <c r="C10" s="49"/>
      <c r="D10" s="49"/>
      <c r="E10" s="60"/>
      <c r="F10" s="60"/>
      <c r="G10" s="60"/>
      <c r="H10" s="49"/>
      <c r="I10" s="49"/>
    </row>
    <row r="11" spans="1:9" ht="15">
      <c r="A11" s="49"/>
      <c r="B11" s="62"/>
      <c r="C11" s="153" t="s">
        <v>2</v>
      </c>
      <c r="D11" s="154"/>
      <c r="E11" s="159"/>
      <c r="F11" s="160"/>
      <c r="G11" s="161"/>
      <c r="H11" s="49"/>
      <c r="I11" s="49"/>
    </row>
    <row r="12" spans="1:9" ht="14.25">
      <c r="A12" s="49"/>
      <c r="B12" s="49"/>
      <c r="C12" s="49"/>
      <c r="D12" s="49"/>
      <c r="E12" s="60"/>
      <c r="F12" s="60"/>
      <c r="G12" s="60"/>
      <c r="H12" s="49"/>
      <c r="I12" s="49"/>
    </row>
    <row r="13" spans="1:9" ht="15">
      <c r="A13" s="49"/>
      <c r="B13" s="62"/>
      <c r="C13" s="153" t="s">
        <v>7</v>
      </c>
      <c r="D13" s="154"/>
      <c r="E13" s="162">
        <f>(E11*2080)/12</f>
        <v>0</v>
      </c>
      <c r="F13" s="163"/>
      <c r="G13" s="164"/>
      <c r="H13" s="49"/>
      <c r="I13" s="49"/>
    </row>
    <row r="14" spans="1:9" ht="14.25">
      <c r="A14" s="49"/>
      <c r="B14" s="49"/>
      <c r="C14" s="49"/>
      <c r="D14" s="49"/>
      <c r="E14" s="49"/>
      <c r="F14" s="49"/>
      <c r="G14" s="49"/>
      <c r="H14" s="49"/>
      <c r="I14" s="49"/>
    </row>
    <row r="15" spans="1:9" ht="14.25">
      <c r="A15" s="158" t="s">
        <v>547</v>
      </c>
      <c r="B15" s="158"/>
      <c r="C15" s="158"/>
      <c r="D15" s="158"/>
      <c r="E15" s="158"/>
      <c r="F15" s="158"/>
      <c r="G15" s="158"/>
      <c r="H15" s="158"/>
      <c r="I15" s="158"/>
    </row>
    <row r="17" customFormat="1" ht="16.5" hidden="1" customHeight="1"/>
    <row r="18" customFormat="1" ht="16.5" hidden="1" customHeight="1"/>
    <row r="19" customFormat="1" ht="16.5" hidden="1" customHeight="1"/>
    <row r="20" customFormat="1" ht="16.5" hidden="1" customHeight="1"/>
    <row r="21" customFormat="1" ht="16.5" hidden="1" customHeight="1"/>
    <row r="22" customFormat="1" ht="16.5" hidden="1" customHeight="1"/>
    <row r="23" customFormat="1" ht="16.5" hidden="1" customHeight="1"/>
    <row r="24" customFormat="1" ht="16.5" hidden="1" customHeight="1"/>
    <row r="25" customFormat="1" ht="16.5" hidden="1" customHeight="1"/>
    <row r="26" customFormat="1" ht="16.5" hidden="1" customHeight="1"/>
    <row r="27" customFormat="1" ht="16.5" hidden="1" customHeight="1"/>
    <row r="28" customFormat="1" ht="16.5" hidden="1" customHeight="1"/>
    <row r="29" customFormat="1" ht="16.5" hidden="1" customHeight="1"/>
    <row r="30" customFormat="1" ht="16.5" hidden="1" customHeight="1"/>
    <row r="31" customFormat="1" ht="16.5" hidden="1" customHeight="1"/>
    <row r="32" customFormat="1" ht="16.5" hidden="1" customHeight="1"/>
    <row r="33" customFormat="1" ht="16.5" hidden="1" customHeight="1"/>
    <row r="34" customFormat="1" ht="16.5" hidden="1" customHeight="1"/>
    <row r="35" customFormat="1" ht="16.5" hidden="1" customHeight="1"/>
    <row r="36" customFormat="1" ht="16.5" hidden="1" customHeight="1"/>
    <row r="37" customFormat="1" ht="16.5" hidden="1" customHeight="1"/>
    <row r="38" customFormat="1" ht="16.5" hidden="1" customHeight="1"/>
    <row r="39" customFormat="1" ht="16.5" hidden="1" customHeight="1"/>
    <row r="40" customFormat="1" ht="16.5" hidden="1" customHeight="1"/>
    <row r="41" customFormat="1" ht="16.5" hidden="1" customHeight="1"/>
    <row r="42" customFormat="1" ht="16.5" hidden="1" customHeight="1"/>
    <row r="43" customFormat="1" ht="16.5" hidden="1" customHeight="1"/>
    <row r="44" customFormat="1" ht="16.5" hidden="1" customHeight="1"/>
    <row r="45" customFormat="1" ht="16.5" hidden="1" customHeight="1"/>
    <row r="46" customFormat="1" ht="16.5" hidden="1" customHeight="1"/>
    <row r="47" customFormat="1" ht="16.5" hidden="1" customHeight="1"/>
    <row r="48" customFormat="1" ht="16.5" hidden="1" customHeight="1"/>
    <row r="49" customFormat="1" ht="16.5" hidden="1" customHeight="1"/>
    <row r="50" customFormat="1" ht="16.5" hidden="1" customHeight="1"/>
    <row r="51" customFormat="1" ht="16.5" hidden="1" customHeight="1"/>
    <row r="52" customFormat="1" ht="16.5" hidden="1" customHeight="1"/>
    <row r="53" customFormat="1" ht="16.5" hidden="1" customHeight="1"/>
    <row r="54" customFormat="1" ht="16.5" hidden="1" customHeight="1"/>
    <row r="55" customFormat="1" ht="16.5" hidden="1" customHeight="1"/>
    <row r="56" customFormat="1" ht="16.5" hidden="1" customHeight="1"/>
    <row r="57" customFormat="1" ht="16.5" hidden="1" customHeight="1"/>
    <row r="58" customFormat="1" ht="16.5" hidden="1" customHeight="1"/>
    <row r="59" customFormat="1" ht="16.5" hidden="1" customHeight="1"/>
    <row r="60" customFormat="1" ht="16.5" hidden="1" customHeight="1"/>
    <row r="61" customFormat="1" ht="16.5" hidden="1" customHeight="1"/>
    <row r="62" customFormat="1" ht="16.5" hidden="1" customHeight="1"/>
    <row r="63" customFormat="1" ht="16.5" hidden="1" customHeight="1"/>
    <row r="64" customFormat="1" ht="16.5" hidden="1" customHeight="1"/>
    <row r="65" customFormat="1" ht="16.5" hidden="1" customHeight="1"/>
    <row r="66" customFormat="1" ht="16.5" hidden="1" customHeight="1"/>
    <row r="67" customFormat="1" ht="16.5" hidden="1" customHeight="1"/>
    <row r="68" customFormat="1" ht="16.5" hidden="1" customHeight="1"/>
    <row r="69" customFormat="1" ht="16.5" hidden="1" customHeight="1"/>
  </sheetData>
  <sheetProtection algorithmName="SHA-512" hashValue="jnaLRUrTnb1vdiFir4DQ2mhrL75Obu0ik4a8aCNrJGz18U75paZhrvzivK41g5Hz7LTGunYT4Pc0Q3Mq8QPehA==" saltValue="oOxsqcRdQt9/h5Fx307I8Q==" spinCount="100000" sheet="1" objects="1" scenarios="1" selectLockedCells="1"/>
  <mergeCells count="11">
    <mergeCell ref="A15:I15"/>
    <mergeCell ref="C11:D11"/>
    <mergeCell ref="E11:G11"/>
    <mergeCell ref="C13:D13"/>
    <mergeCell ref="E13:G13"/>
    <mergeCell ref="A1:I4"/>
    <mergeCell ref="A5:I5"/>
    <mergeCell ref="C7:D7"/>
    <mergeCell ref="E7:G7"/>
    <mergeCell ref="C8:D8"/>
    <mergeCell ref="E8:G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locked="0" defaultSize="0" print="0" autoFill="0" autoPict="0" macro="[0]!FullTime_Click">
                <anchor moveWithCells="1" sizeWithCells="1">
                  <from>
                    <xdr:col>7</xdr:col>
                    <xdr:colOff>390525</xdr:colOff>
                    <xdr:row>6</xdr:row>
                    <xdr:rowOff>161925</xdr:rowOff>
                  </from>
                  <to>
                    <xdr:col>8</xdr:col>
                    <xdr:colOff>590550</xdr:colOff>
                    <xdr:row>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0AE50-EFAB-4783-B585-FD466727DE82}">
  <sheetPr codeName="Sheet19"/>
  <dimension ref="A1:J22"/>
  <sheetViews>
    <sheetView workbookViewId="0">
      <selection activeCell="H6" sqref="H6"/>
    </sheetView>
  </sheetViews>
  <sheetFormatPr defaultColWidth="0" defaultRowHeight="14.25" zeroHeight="1"/>
  <cols>
    <col min="1" max="6" width="8.875" style="52" customWidth="1"/>
    <col min="7" max="7" width="10.25" style="52" customWidth="1"/>
    <col min="8" max="8" width="16.375" style="52" customWidth="1"/>
    <col min="9" max="10" width="8.875" style="52" customWidth="1"/>
    <col min="11" max="16384" width="8.875" hidden="1"/>
  </cols>
  <sheetData>
    <row r="1" spans="1:10" ht="16.5" customHeight="1">
      <c r="A1" s="143" t="s">
        <v>111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6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6.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</row>
    <row r="4" spans="1:10" ht="16.5" customHeight="1">
      <c r="A4" s="143"/>
      <c r="B4" s="143"/>
      <c r="C4" s="143"/>
      <c r="D4" s="143"/>
      <c r="E4" s="143"/>
      <c r="F4" s="143"/>
      <c r="G4" s="143"/>
      <c r="H4" s="143"/>
      <c r="I4" s="143"/>
      <c r="J4" s="143"/>
    </row>
    <row r="5" spans="1:10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10">
      <c r="A6" s="49"/>
      <c r="B6" s="153" t="s">
        <v>171</v>
      </c>
      <c r="C6" s="184"/>
      <c r="D6" s="184"/>
      <c r="E6" s="184"/>
      <c r="F6" s="184"/>
      <c r="G6" s="154"/>
      <c r="H6" s="133" t="s">
        <v>29</v>
      </c>
      <c r="I6" s="49"/>
      <c r="J6" s="49"/>
    </row>
    <row r="7" spans="1:10">
      <c r="A7" s="49"/>
      <c r="B7" s="153" t="s">
        <v>107</v>
      </c>
      <c r="C7" s="184"/>
      <c r="D7" s="184"/>
      <c r="E7" s="184"/>
      <c r="F7" s="184"/>
      <c r="G7" s="154"/>
      <c r="H7" s="133" t="s">
        <v>29</v>
      </c>
      <c r="I7" s="49"/>
      <c r="J7" s="49"/>
    </row>
    <row r="8" spans="1:10">
      <c r="A8" s="49"/>
      <c r="B8" s="182" t="s">
        <v>108</v>
      </c>
      <c r="C8" s="191"/>
      <c r="D8" s="191"/>
      <c r="E8" s="191"/>
      <c r="F8" s="191"/>
      <c r="G8" s="264"/>
      <c r="H8" s="133" t="s">
        <v>29</v>
      </c>
      <c r="I8" s="49"/>
      <c r="J8" s="49"/>
    </row>
    <row r="9" spans="1:10">
      <c r="A9" s="49"/>
      <c r="B9" s="49"/>
      <c r="C9" s="49"/>
      <c r="D9" s="49"/>
      <c r="E9" s="49"/>
      <c r="F9" s="49"/>
      <c r="G9" s="49"/>
      <c r="H9" s="49"/>
      <c r="I9" s="49"/>
      <c r="J9" s="49"/>
    </row>
    <row r="10" spans="1:10">
      <c r="A10" s="49"/>
      <c r="B10" s="187" t="s">
        <v>109</v>
      </c>
      <c r="C10" s="187"/>
      <c r="D10" s="187"/>
      <c r="E10" s="187"/>
      <c r="F10" s="187"/>
      <c r="G10" s="187"/>
      <c r="H10" s="187"/>
      <c r="I10" s="49"/>
      <c r="J10" s="49"/>
    </row>
    <row r="11" spans="1:10">
      <c r="A11" s="49"/>
      <c r="B11" s="49"/>
      <c r="C11" s="49"/>
      <c r="D11" s="49"/>
      <c r="E11" s="49"/>
      <c r="F11" s="49"/>
      <c r="G11" s="49"/>
      <c r="H11" s="49"/>
      <c r="I11" s="49"/>
      <c r="J11" s="49"/>
    </row>
    <row r="12" spans="1:10">
      <c r="A12" s="49"/>
      <c r="B12" s="49"/>
      <c r="C12" s="49"/>
      <c r="D12" s="49"/>
      <c r="E12" s="189" t="s">
        <v>60</v>
      </c>
      <c r="F12" s="189"/>
      <c r="G12" s="189"/>
      <c r="H12" s="77"/>
      <c r="I12" s="49"/>
      <c r="J12" s="49"/>
    </row>
    <row r="13" spans="1:10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0">
      <c r="A14" s="49"/>
      <c r="B14" s="49"/>
      <c r="C14" s="49"/>
      <c r="D14" s="49"/>
      <c r="E14" s="189" t="s">
        <v>7</v>
      </c>
      <c r="F14" s="189"/>
      <c r="G14" s="189"/>
      <c r="H14" s="78">
        <f>H12</f>
        <v>0</v>
      </c>
      <c r="I14" s="49"/>
      <c r="J14" s="49"/>
    </row>
    <row r="15" spans="1:10">
      <c r="A15" s="49"/>
      <c r="B15" s="49"/>
      <c r="C15" s="49"/>
      <c r="D15" s="49"/>
      <c r="E15" s="49"/>
      <c r="F15" s="49"/>
      <c r="G15" s="49"/>
      <c r="H15" s="49"/>
      <c r="I15" s="49"/>
    </row>
    <row r="16" spans="1:10" hidden="1">
      <c r="A16" s="49"/>
      <c r="B16" s="49"/>
      <c r="C16" s="49"/>
      <c r="D16" s="49"/>
      <c r="E16" s="49"/>
      <c r="F16" s="49"/>
      <c r="G16" s="49"/>
      <c r="H16" s="49"/>
      <c r="I16" s="49"/>
    </row>
    <row r="17" spans="1:9" hidden="1">
      <c r="A17" s="49"/>
      <c r="B17" s="49"/>
      <c r="C17" s="49"/>
      <c r="D17" s="49"/>
      <c r="E17" s="49"/>
      <c r="F17" s="49"/>
      <c r="G17" s="49"/>
      <c r="H17" s="49"/>
      <c r="I17" s="49"/>
    </row>
    <row r="18" spans="1:9" hidden="1">
      <c r="A18" s="49"/>
      <c r="B18" s="49"/>
      <c r="C18" s="49"/>
      <c r="D18" s="49"/>
      <c r="E18" s="49"/>
      <c r="F18" s="49"/>
      <c r="G18" s="49"/>
      <c r="H18" s="49"/>
      <c r="I18" s="49"/>
    </row>
    <row r="19" spans="1:9" hidden="1">
      <c r="A19" s="49"/>
      <c r="B19" s="49"/>
      <c r="C19" s="49"/>
      <c r="D19" s="49"/>
      <c r="E19" s="49"/>
      <c r="F19" s="49"/>
      <c r="G19" s="49"/>
      <c r="H19" s="49"/>
      <c r="I19" s="49"/>
    </row>
    <row r="20" spans="1:9" hidden="1">
      <c r="A20" s="49"/>
      <c r="B20" s="49"/>
      <c r="C20" s="49"/>
      <c r="D20" s="49"/>
      <c r="E20" s="49"/>
      <c r="F20" s="49"/>
      <c r="G20" s="49"/>
      <c r="H20" s="49"/>
      <c r="I20" s="49"/>
    </row>
    <row r="21" spans="1:9" hidden="1">
      <c r="A21" s="49"/>
      <c r="B21" s="49"/>
      <c r="C21" s="49"/>
      <c r="D21" s="49"/>
      <c r="E21" s="49"/>
      <c r="F21" s="49"/>
      <c r="G21" s="49"/>
      <c r="H21" s="49"/>
      <c r="I21" s="49"/>
    </row>
    <row r="22" spans="1:9" hidden="1">
      <c r="A22" s="49"/>
      <c r="B22" s="49"/>
      <c r="C22" s="49"/>
      <c r="D22" s="49"/>
      <c r="E22" s="49"/>
      <c r="F22" s="49"/>
      <c r="G22" s="49"/>
      <c r="H22" s="49"/>
      <c r="I22" s="49"/>
    </row>
  </sheetData>
  <sheetProtection algorithmName="SHA-512" hashValue="+tI9TS8PZnUuVths8n2+4+lMAd0K92xcfVrbj9JNPrVaC+Bj5fGGl+5dBBSjmN7mx4zviROVONE4VPcU0JrAQw==" saltValue="yLIKEFCUv6xRtL4asefj6g==" spinCount="100000" sheet="1" objects="1" scenarios="1" selectLockedCells="1"/>
  <mergeCells count="7">
    <mergeCell ref="E14:G14"/>
    <mergeCell ref="A1:J4"/>
    <mergeCell ref="E12:G12"/>
    <mergeCell ref="B6:G6"/>
    <mergeCell ref="B7:G7"/>
    <mergeCell ref="B8:G8"/>
    <mergeCell ref="B10:H10"/>
  </mergeCells>
  <conditionalFormatting sqref="B10:H10">
    <cfRule type="expression" dxfId="140" priority="5">
      <formula>OR(H6="No",H7="No",H8="No")</formula>
    </cfRule>
  </conditionalFormatting>
  <conditionalFormatting sqref="E12:G12">
    <cfRule type="expression" dxfId="139" priority="4">
      <formula>AND(H6="Yes",H7="Yes",H8="Yes")</formula>
    </cfRule>
  </conditionalFormatting>
  <conditionalFormatting sqref="H12">
    <cfRule type="expression" dxfId="138" priority="3">
      <formula>AND(H6="Yes",H7="Yes",H8="Yes")</formula>
    </cfRule>
  </conditionalFormatting>
  <conditionalFormatting sqref="H14">
    <cfRule type="expression" dxfId="137" priority="2">
      <formula>AND(H6="yes",H7="yes",H8="Yes")</formula>
    </cfRule>
  </conditionalFormatting>
  <conditionalFormatting sqref="E14:G14">
    <cfRule type="expression" dxfId="136" priority="1">
      <formula>AND(H6="yes",H7="yes",H8="Yes")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7" r:id="rId3" name="Button 3">
              <controlPr locked="0" defaultSize="0" print="0" autoFill="0" autoPict="0" macro="[0]!NotesReceivable_Click">
                <anchor moveWithCells="1" sizeWithCells="1">
                  <from>
                    <xdr:col>8</xdr:col>
                    <xdr:colOff>342900</xdr:colOff>
                    <xdr:row>5</xdr:row>
                    <xdr:rowOff>190500</xdr:rowOff>
                  </from>
                  <to>
                    <xdr:col>9</xdr:col>
                    <xdr:colOff>542925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A50DA4-FDBF-41AC-8753-1DED3289E2F7}">
          <x14:formula1>
            <xm:f>Lists!$E$11:$E$13</xm:f>
          </x14:formula1>
          <xm:sqref>H6 H7 H8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2D82C-E5EF-43B4-9583-1EB8630C4BCB}">
  <sheetPr codeName="Sheet20"/>
  <dimension ref="A1:M18"/>
  <sheetViews>
    <sheetView workbookViewId="0">
      <selection activeCell="G7" sqref="G7"/>
    </sheetView>
  </sheetViews>
  <sheetFormatPr defaultColWidth="0" defaultRowHeight="14.25" zeroHeight="1"/>
  <cols>
    <col min="1" max="3" width="8.875" customWidth="1"/>
    <col min="4" max="4" width="11.625" customWidth="1"/>
    <col min="5" max="5" width="11.25" customWidth="1"/>
    <col min="6" max="6" width="8.875" customWidth="1"/>
    <col min="7" max="7" width="16.125" customWidth="1"/>
    <col min="8" max="9" width="8.875" customWidth="1"/>
    <col min="10" max="16384" width="8.875" hidden="1"/>
  </cols>
  <sheetData>
    <row r="1" spans="1:13" ht="16.5" customHeight="1">
      <c r="A1" s="143" t="s">
        <v>110</v>
      </c>
      <c r="B1" s="143"/>
      <c r="C1" s="143"/>
      <c r="D1" s="143"/>
      <c r="E1" s="143"/>
      <c r="F1" s="143"/>
      <c r="G1" s="143"/>
      <c r="H1" s="143"/>
      <c r="I1" s="143"/>
    </row>
    <row r="2" spans="1:13" ht="16.5" customHeight="1">
      <c r="A2" s="143"/>
      <c r="B2" s="143"/>
      <c r="C2" s="143"/>
      <c r="D2" s="143"/>
      <c r="E2" s="143"/>
      <c r="F2" s="143"/>
      <c r="G2" s="143"/>
      <c r="H2" s="143"/>
      <c r="I2" s="143"/>
    </row>
    <row r="3" spans="1:13" ht="16.5" customHeight="1">
      <c r="A3" s="143"/>
      <c r="B3" s="143"/>
      <c r="C3" s="143"/>
      <c r="D3" s="143"/>
      <c r="E3" s="143"/>
      <c r="F3" s="143"/>
      <c r="G3" s="143"/>
      <c r="H3" s="143"/>
      <c r="I3" s="143"/>
    </row>
    <row r="4" spans="1:13" ht="16.5" customHeight="1">
      <c r="A4" s="143"/>
      <c r="B4" s="143"/>
      <c r="C4" s="143"/>
      <c r="D4" s="143"/>
      <c r="E4" s="143"/>
      <c r="F4" s="143"/>
      <c r="G4" s="143"/>
      <c r="H4" s="143"/>
      <c r="I4" s="143"/>
    </row>
    <row r="5" spans="1:13">
      <c r="A5" s="49"/>
      <c r="B5" s="49"/>
      <c r="C5" s="49"/>
      <c r="D5" s="49"/>
      <c r="E5" s="49"/>
      <c r="F5" s="49"/>
      <c r="G5" s="49"/>
      <c r="H5" s="49"/>
      <c r="I5" s="49"/>
    </row>
    <row r="6" spans="1:13">
      <c r="A6" s="49"/>
      <c r="B6" s="49"/>
      <c r="C6" s="49"/>
      <c r="D6" s="49"/>
      <c r="E6" s="49"/>
      <c r="F6" s="49"/>
      <c r="G6" s="49"/>
      <c r="H6" s="49"/>
      <c r="I6" s="49"/>
    </row>
    <row r="7" spans="1:13">
      <c r="A7" s="49"/>
      <c r="B7" s="153" t="s">
        <v>112</v>
      </c>
      <c r="C7" s="184"/>
      <c r="D7" s="184"/>
      <c r="E7" s="184"/>
      <c r="F7" s="154"/>
      <c r="G7" s="133" t="s">
        <v>29</v>
      </c>
      <c r="H7" s="49"/>
      <c r="I7" s="49"/>
    </row>
    <row r="8" spans="1:13">
      <c r="A8" s="49"/>
      <c r="B8" s="49"/>
      <c r="C8" s="49"/>
      <c r="D8" s="49"/>
      <c r="E8" s="49"/>
      <c r="F8" s="49"/>
      <c r="G8" s="49"/>
      <c r="H8" s="49"/>
      <c r="I8" s="49"/>
    </row>
    <row r="9" spans="1:13">
      <c r="A9" s="49"/>
      <c r="B9" s="255" t="s">
        <v>114</v>
      </c>
      <c r="C9" s="255"/>
      <c r="D9" s="255"/>
      <c r="E9" s="255"/>
      <c r="F9" s="255"/>
      <c r="G9" s="255"/>
      <c r="H9" s="49"/>
      <c r="I9" s="49"/>
    </row>
    <row r="10" spans="1:13">
      <c r="A10" s="49"/>
      <c r="B10" s="49"/>
      <c r="C10" s="49"/>
      <c r="D10" s="49"/>
      <c r="E10" s="49"/>
      <c r="F10" s="49"/>
      <c r="G10" s="49"/>
      <c r="H10" s="49"/>
      <c r="I10" s="49"/>
    </row>
    <row r="11" spans="1:13">
      <c r="A11" s="49"/>
      <c r="B11" s="49"/>
      <c r="C11" s="49"/>
      <c r="D11" s="189" t="s">
        <v>113</v>
      </c>
      <c r="E11" s="189"/>
      <c r="F11" s="189"/>
      <c r="G11" s="59"/>
      <c r="H11" s="49"/>
      <c r="I11" s="49"/>
    </row>
    <row r="12" spans="1:13">
      <c r="A12" s="49"/>
      <c r="B12" s="49"/>
      <c r="C12" s="49"/>
      <c r="D12" s="49"/>
      <c r="E12" s="49"/>
      <c r="F12" s="49"/>
      <c r="G12" s="49"/>
      <c r="H12" s="49"/>
      <c r="I12" s="49"/>
    </row>
    <row r="13" spans="1:13">
      <c r="A13" s="49"/>
      <c r="B13" s="49"/>
      <c r="C13" s="49"/>
      <c r="D13" s="189" t="s">
        <v>7</v>
      </c>
      <c r="E13" s="189"/>
      <c r="F13" s="189"/>
      <c r="G13" s="78">
        <f>G11</f>
        <v>0</v>
      </c>
      <c r="H13" s="49"/>
      <c r="I13" s="49"/>
    </row>
    <row r="14" spans="1:13">
      <c r="A14" s="165"/>
      <c r="B14" s="165"/>
      <c r="C14" s="165"/>
      <c r="D14" s="165"/>
      <c r="E14" s="165"/>
      <c r="F14" s="165"/>
      <c r="G14" s="165"/>
      <c r="H14" s="165"/>
      <c r="I14" s="165"/>
    </row>
    <row r="15" spans="1:13">
      <c r="A15" s="165" t="s">
        <v>546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</row>
    <row r="16" spans="1:13">
      <c r="A16" s="1"/>
      <c r="B16" s="1"/>
      <c r="C16" s="1"/>
      <c r="D16" s="1"/>
      <c r="E16" s="1"/>
      <c r="F16" s="1"/>
      <c r="G16" s="1"/>
      <c r="H16" s="1"/>
    </row>
    <row r="17" spans="1:8" hidden="1">
      <c r="A17" s="1"/>
      <c r="B17" s="1"/>
      <c r="C17" s="1"/>
      <c r="D17" s="1"/>
      <c r="E17" s="1"/>
      <c r="F17" s="1"/>
      <c r="G17" s="1"/>
      <c r="H17" s="1"/>
    </row>
    <row r="18" spans="1:8" hidden="1">
      <c r="A18" s="1"/>
      <c r="B18" s="1"/>
      <c r="C18" s="1"/>
      <c r="D18" s="1"/>
      <c r="E18" s="1"/>
      <c r="F18" s="1"/>
      <c r="G18" s="1"/>
      <c r="H18" s="1"/>
    </row>
  </sheetData>
  <sheetProtection algorithmName="SHA-512" hashValue="73LlXwEPgIg6E3H9657sRzFybl2KhWUF4ci44J33eTsXGTrUPrWeuzUHlwhB73Y4chKjY4M3hmsmHgOh+HIkoQ==" saltValue="+x1RtW3JqwGx730JhCdFVA==" spinCount="100000" sheet="1" objects="1" scenarios="1" selectLockedCells="1"/>
  <mergeCells count="7">
    <mergeCell ref="A15:M15"/>
    <mergeCell ref="B7:F7"/>
    <mergeCell ref="D11:F11"/>
    <mergeCell ref="B9:G9"/>
    <mergeCell ref="A1:I4"/>
    <mergeCell ref="A14:I14"/>
    <mergeCell ref="D13:F13"/>
  </mergeCells>
  <conditionalFormatting sqref="B9:G9">
    <cfRule type="expression" dxfId="135" priority="5">
      <formula>G7="No"</formula>
    </cfRule>
  </conditionalFormatting>
  <conditionalFormatting sqref="D11:F11">
    <cfRule type="expression" dxfId="134" priority="4">
      <formula>G7="Yes"</formula>
    </cfRule>
  </conditionalFormatting>
  <conditionalFormatting sqref="G11">
    <cfRule type="expression" dxfId="133" priority="3">
      <formula>G7="Yes"</formula>
    </cfRule>
  </conditionalFormatting>
  <conditionalFormatting sqref="G13">
    <cfRule type="expression" dxfId="132" priority="2">
      <formula>G7="Yes"</formula>
    </cfRule>
  </conditionalFormatting>
  <conditionalFormatting sqref="D13:F13">
    <cfRule type="expression" dxfId="131" priority="1">
      <formula>G7="Yes"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1" r:id="rId4" name="Button 3">
              <controlPr locked="0" defaultSize="0" print="0" autoFill="0" autoPict="0" macro="[0]!Pension_Click">
                <anchor moveWithCells="1" sizeWithCells="1">
                  <from>
                    <xdr:col>7</xdr:col>
                    <xdr:colOff>352425</xdr:colOff>
                    <xdr:row>6</xdr:row>
                    <xdr:rowOff>9525</xdr:rowOff>
                  </from>
                  <to>
                    <xdr:col>8</xdr:col>
                    <xdr:colOff>552450</xdr:colOff>
                    <xdr:row>7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F38AB3-4BC1-4E5E-859D-AFE79ACF197E}">
          <x14:formula1>
            <xm:f>Lists!$E$11:$E$13</xm:f>
          </x14:formula1>
          <xm:sqref>G7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5BAC1-3883-4CB5-AE68-6D2055D637D6}">
  <sheetPr codeName="Sheet21"/>
  <dimension ref="A1:XFC34"/>
  <sheetViews>
    <sheetView workbookViewId="0">
      <selection activeCell="H7" sqref="H7"/>
    </sheetView>
  </sheetViews>
  <sheetFormatPr defaultColWidth="0" defaultRowHeight="14.25" zeroHeight="1"/>
  <cols>
    <col min="1" max="1" width="8.875" style="52" customWidth="1"/>
    <col min="2" max="2" width="10.875" style="52" customWidth="1"/>
    <col min="3" max="3" width="11.125" style="52" customWidth="1"/>
    <col min="4" max="4" width="9" style="52" customWidth="1"/>
    <col min="5" max="5" width="10" style="52" customWidth="1"/>
    <col min="6" max="6" width="8.875" style="52" customWidth="1"/>
    <col min="7" max="7" width="7.875" style="52" customWidth="1"/>
    <col min="8" max="8" width="17.375" style="52" customWidth="1"/>
    <col min="9" max="10" width="8.875" style="52" customWidth="1"/>
    <col min="11" max="12" width="8.875" hidden="1"/>
    <col min="13" max="13" width="15.625" hidden="1"/>
    <col min="14" max="16383" width="8.875" hidden="1"/>
    <col min="16384" max="16384" width="9.25" hidden="1"/>
  </cols>
  <sheetData>
    <row r="1" spans="1:13" ht="16.5" customHeight="1">
      <c r="A1" s="143" t="s">
        <v>545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6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</row>
    <row r="3" spans="1:13" ht="16.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</row>
    <row r="4" spans="1:13" ht="16.5" customHeight="1">
      <c r="A4" s="143"/>
      <c r="B4" s="143"/>
      <c r="C4" s="143"/>
      <c r="D4" s="143"/>
      <c r="E4" s="143"/>
      <c r="F4" s="143"/>
      <c r="G4" s="143"/>
      <c r="H4" s="143"/>
      <c r="I4" s="143"/>
      <c r="J4" s="143"/>
    </row>
    <row r="5" spans="1:13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49"/>
      <c r="B6" s="49"/>
      <c r="C6" s="49"/>
      <c r="D6" s="49"/>
      <c r="E6" s="49"/>
      <c r="F6" s="49"/>
      <c r="G6" s="49"/>
      <c r="H6" s="49"/>
      <c r="I6" s="49"/>
      <c r="J6" s="49"/>
    </row>
    <row r="7" spans="1:13">
      <c r="A7" s="49"/>
      <c r="B7" s="153" t="s">
        <v>116</v>
      </c>
      <c r="C7" s="184"/>
      <c r="D7" s="184"/>
      <c r="E7" s="184"/>
      <c r="F7" s="184"/>
      <c r="G7" s="154"/>
      <c r="H7" s="133" t="s">
        <v>29</v>
      </c>
      <c r="I7" s="49"/>
      <c r="J7" s="49"/>
      <c r="M7" t="s">
        <v>126</v>
      </c>
    </row>
    <row r="8" spans="1:13">
      <c r="A8" s="49"/>
      <c r="B8" s="153" t="s">
        <v>554</v>
      </c>
      <c r="C8" s="184"/>
      <c r="D8" s="184"/>
      <c r="E8" s="184"/>
      <c r="F8" s="184"/>
      <c r="G8" s="154"/>
      <c r="H8" s="133" t="s">
        <v>29</v>
      </c>
      <c r="I8" s="49"/>
      <c r="J8" s="49"/>
    </row>
    <row r="9" spans="1:13" ht="15">
      <c r="A9" s="49"/>
      <c r="B9" s="189" t="str">
        <f>IF(H8="No","What is the mortgage payment without taxes &amp; insurance?",IF(H8="Yes","What is the total mortgage payment including taxes and insurance?",""))</f>
        <v/>
      </c>
      <c r="C9" s="189"/>
      <c r="D9" s="189"/>
      <c r="E9" s="189"/>
      <c r="F9" s="189"/>
      <c r="G9" s="189"/>
      <c r="H9" s="136"/>
      <c r="I9" s="49"/>
      <c r="J9" s="49"/>
      <c r="M9" s="3">
        <f>F16/12</f>
        <v>0</v>
      </c>
    </row>
    <row r="10" spans="1:13">
      <c r="A10" s="49"/>
      <c r="B10" s="49"/>
      <c r="C10" s="49"/>
      <c r="D10" s="49"/>
      <c r="E10" s="49"/>
      <c r="F10" s="49"/>
      <c r="G10" s="49"/>
      <c r="H10" s="49"/>
      <c r="I10" s="49"/>
      <c r="J10" s="49"/>
      <c r="M10" t="s">
        <v>127</v>
      </c>
    </row>
    <row r="11" spans="1:13">
      <c r="A11" s="187" t="s">
        <v>544</v>
      </c>
      <c r="B11" s="187"/>
      <c r="C11" s="187"/>
      <c r="D11" s="187"/>
      <c r="E11" s="187"/>
      <c r="F11" s="187"/>
      <c r="G11" s="187"/>
      <c r="H11" s="187"/>
      <c r="I11" s="187"/>
      <c r="J11" s="187"/>
      <c r="M11" s="3">
        <f>F14/12</f>
        <v>0</v>
      </c>
    </row>
    <row r="12" spans="1:13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3">
      <c r="A13" s="49"/>
      <c r="B13" s="49"/>
      <c r="C13" s="189" t="s">
        <v>117</v>
      </c>
      <c r="D13" s="189"/>
      <c r="E13" s="189"/>
      <c r="F13" s="267"/>
      <c r="G13" s="267"/>
      <c r="H13" s="49"/>
      <c r="I13" s="49"/>
      <c r="J13" s="49"/>
    </row>
    <row r="14" spans="1:13">
      <c r="A14" s="49"/>
      <c r="B14" s="49"/>
      <c r="C14" s="189" t="s">
        <v>118</v>
      </c>
      <c r="D14" s="189"/>
      <c r="E14" s="189"/>
      <c r="F14" s="267"/>
      <c r="G14" s="267"/>
      <c r="H14" s="49"/>
      <c r="I14" s="49"/>
      <c r="J14" s="49"/>
    </row>
    <row r="15" spans="1:13">
      <c r="A15" s="49"/>
      <c r="B15" s="49"/>
      <c r="C15" s="189" t="s">
        <v>119</v>
      </c>
      <c r="D15" s="189"/>
      <c r="E15" s="189"/>
      <c r="F15" s="267"/>
      <c r="G15" s="267"/>
      <c r="H15" s="49"/>
      <c r="I15" s="49"/>
      <c r="J15" s="49"/>
    </row>
    <row r="16" spans="1:13">
      <c r="A16" s="49"/>
      <c r="B16" s="49"/>
      <c r="C16" s="189" t="s">
        <v>120</v>
      </c>
      <c r="D16" s="189"/>
      <c r="E16" s="189"/>
      <c r="F16" s="267"/>
      <c r="G16" s="267"/>
      <c r="H16" s="49"/>
      <c r="I16" s="49"/>
      <c r="J16" s="49"/>
    </row>
    <row r="17" spans="1:10">
      <c r="A17" s="49"/>
      <c r="B17" s="49"/>
      <c r="C17" s="189" t="s">
        <v>121</v>
      </c>
      <c r="D17" s="189"/>
      <c r="E17" s="189"/>
      <c r="F17" s="267"/>
      <c r="G17" s="267"/>
      <c r="H17" s="49"/>
      <c r="I17" s="49"/>
      <c r="J17" s="49"/>
    </row>
    <row r="18" spans="1:10">
      <c r="A18" s="49"/>
      <c r="B18" s="49"/>
      <c r="C18" s="189" t="s">
        <v>122</v>
      </c>
      <c r="D18" s="189"/>
      <c r="E18" s="189"/>
      <c r="F18" s="267"/>
      <c r="G18" s="267"/>
      <c r="H18" s="49"/>
      <c r="I18" s="49"/>
      <c r="J18" s="49"/>
    </row>
    <row r="19" spans="1:10">
      <c r="A19" s="49"/>
      <c r="B19" s="49"/>
      <c r="C19" s="189" t="s">
        <v>124</v>
      </c>
      <c r="D19" s="189"/>
      <c r="E19" s="189"/>
      <c r="F19" s="267"/>
      <c r="G19" s="267"/>
      <c r="H19" s="49"/>
      <c r="I19" s="49"/>
      <c r="J19" s="49"/>
    </row>
    <row r="20" spans="1:10">
      <c r="A20" s="49"/>
      <c r="B20" s="49"/>
      <c r="C20" s="189" t="s">
        <v>123</v>
      </c>
      <c r="D20" s="189"/>
      <c r="E20" s="189"/>
      <c r="F20" s="267"/>
      <c r="G20" s="267"/>
      <c r="H20" s="49"/>
      <c r="I20" s="49"/>
      <c r="J20" s="49"/>
    </row>
    <row r="21" spans="1:10">
      <c r="A21" s="49"/>
      <c r="B21" s="49"/>
      <c r="C21" s="54"/>
      <c r="D21" s="54"/>
      <c r="E21" s="54"/>
      <c r="F21" s="49"/>
      <c r="G21" s="49"/>
      <c r="H21" s="49"/>
      <c r="I21" s="49"/>
      <c r="J21" s="49"/>
    </row>
    <row r="22" spans="1:10">
      <c r="A22" s="49"/>
      <c r="B22" s="49"/>
      <c r="C22" s="189" t="s">
        <v>125</v>
      </c>
      <c r="D22" s="189"/>
      <c r="E22" s="189"/>
      <c r="F22" s="266" t="str">
        <f>IF(H8="No",((F13+F14+F15+F16+F17+F18+F19-F20)/12)-(H9+(F14/12+F16/12)),IF(H8="Yes",((F13+F14+F15+F16+F17+F18+F19-F20)/12)-H9,""))</f>
        <v/>
      </c>
      <c r="G22" s="266"/>
      <c r="H22" s="49"/>
      <c r="I22" s="49"/>
      <c r="J22" s="49"/>
    </row>
    <row r="23" spans="1:10">
      <c r="A23" s="49"/>
      <c r="B23" s="49"/>
      <c r="C23" s="55"/>
      <c r="D23" s="55"/>
      <c r="E23" s="55"/>
      <c r="F23" s="56"/>
      <c r="G23" s="56"/>
      <c r="H23" s="49"/>
      <c r="I23" s="49"/>
      <c r="J23" s="49"/>
    </row>
    <row r="24" spans="1:10" ht="17.25" customHeight="1">
      <c r="A24" s="265"/>
      <c r="B24" s="265"/>
      <c r="C24" s="265"/>
      <c r="D24" s="265"/>
      <c r="E24" s="265"/>
      <c r="F24" s="265"/>
      <c r="G24" s="265"/>
      <c r="H24" s="265"/>
      <c r="I24" s="265"/>
      <c r="J24" s="265"/>
    </row>
    <row r="25" spans="1:10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hidden="1">
      <c r="A26" s="49"/>
      <c r="B26" s="49"/>
      <c r="C26" s="49"/>
      <c r="D26" s="49"/>
      <c r="E26" s="49"/>
      <c r="F26" s="49"/>
      <c r="G26" s="49"/>
      <c r="H26" s="49"/>
      <c r="I26" s="49"/>
    </row>
    <row r="27" spans="1:10" hidden="1">
      <c r="A27" s="49"/>
      <c r="B27" s="49"/>
      <c r="C27" s="49"/>
      <c r="D27" s="49"/>
      <c r="E27" s="49"/>
      <c r="F27" s="49"/>
      <c r="G27" s="49"/>
      <c r="H27" s="49"/>
      <c r="I27" s="49"/>
    </row>
    <row r="28" spans="1:10" hidden="1">
      <c r="A28" s="49"/>
      <c r="B28" s="49"/>
      <c r="C28" s="49"/>
      <c r="D28" s="49"/>
      <c r="E28" s="49"/>
      <c r="F28" s="49"/>
      <c r="G28" s="49"/>
      <c r="H28" s="49"/>
      <c r="I28" s="49"/>
    </row>
    <row r="29" spans="1:10" hidden="1">
      <c r="A29" s="49"/>
      <c r="B29" s="49"/>
      <c r="C29" s="49"/>
      <c r="D29" s="49"/>
      <c r="E29" s="49"/>
      <c r="F29" s="49"/>
      <c r="G29" s="49"/>
      <c r="H29" s="49"/>
      <c r="I29" s="49"/>
    </row>
    <row r="30" spans="1:10" hidden="1">
      <c r="A30" s="49"/>
      <c r="B30" s="49"/>
      <c r="C30" s="49"/>
      <c r="D30" s="49"/>
      <c r="E30" s="49"/>
      <c r="F30" s="49"/>
      <c r="G30" s="49"/>
      <c r="H30" s="49"/>
      <c r="I30" s="49"/>
    </row>
    <row r="31" spans="1:10" hidden="1">
      <c r="A31" s="49"/>
      <c r="B31" s="49"/>
      <c r="C31" s="49"/>
      <c r="D31" s="49"/>
      <c r="E31" s="49"/>
      <c r="F31" s="49"/>
      <c r="G31" s="49"/>
      <c r="H31" s="49"/>
      <c r="I31" s="49"/>
    </row>
    <row r="32" spans="1:10" hidden="1">
      <c r="A32" s="49"/>
      <c r="B32" s="49"/>
      <c r="C32" s="49"/>
      <c r="D32" s="49"/>
      <c r="E32" s="49"/>
      <c r="F32" s="49"/>
      <c r="G32" s="49"/>
      <c r="H32" s="49"/>
      <c r="I32" s="49"/>
    </row>
    <row r="33" spans="1:9" hidden="1">
      <c r="A33" s="49"/>
      <c r="B33" s="49"/>
      <c r="C33" s="49"/>
      <c r="D33" s="49"/>
      <c r="E33" s="49"/>
      <c r="F33" s="49"/>
      <c r="G33" s="49"/>
      <c r="H33" s="49"/>
      <c r="I33" s="49"/>
    </row>
    <row r="34" spans="1:9" hidden="1">
      <c r="A34" s="49"/>
      <c r="B34" s="49"/>
      <c r="C34" s="49"/>
      <c r="D34" s="49"/>
      <c r="E34" s="49"/>
      <c r="F34" s="49"/>
      <c r="G34" s="49"/>
      <c r="H34" s="49"/>
      <c r="I34" s="49"/>
    </row>
  </sheetData>
  <sheetProtection algorithmName="SHA-512" hashValue="KheZNFmPW9WRWi87iT/PKZtnUBlGV3jVYUSCNYB8GAMw6tGD/S/K55xDVa3mD+Dbv2QL+6c2Fv20lVQIc+FNrw==" saltValue="BHhT7CYoCkbfX6E7miR5jw==" spinCount="100000" sheet="1" objects="1" scenarios="1" selectLockedCells="1"/>
  <mergeCells count="24">
    <mergeCell ref="A1:J4"/>
    <mergeCell ref="C18:E18"/>
    <mergeCell ref="C19:E19"/>
    <mergeCell ref="B7:G7"/>
    <mergeCell ref="C13:E13"/>
    <mergeCell ref="C14:E14"/>
    <mergeCell ref="A11:J11"/>
    <mergeCell ref="B8:G8"/>
    <mergeCell ref="A24:J24"/>
    <mergeCell ref="C22:E22"/>
    <mergeCell ref="F22:G22"/>
    <mergeCell ref="B9:G9"/>
    <mergeCell ref="C20:E20"/>
    <mergeCell ref="F13:G13"/>
    <mergeCell ref="F14:G14"/>
    <mergeCell ref="F15:G15"/>
    <mergeCell ref="F16:G16"/>
    <mergeCell ref="F17:G17"/>
    <mergeCell ref="F18:G18"/>
    <mergeCell ref="F19:G19"/>
    <mergeCell ref="F20:G20"/>
    <mergeCell ref="C15:E15"/>
    <mergeCell ref="C16:E16"/>
    <mergeCell ref="C17:E17"/>
  </mergeCells>
  <conditionalFormatting sqref="C13:E13">
    <cfRule type="expression" dxfId="130" priority="24">
      <formula>H7="Yes"</formula>
    </cfRule>
  </conditionalFormatting>
  <conditionalFormatting sqref="C14:E14">
    <cfRule type="expression" dxfId="129" priority="23">
      <formula>H7="Yes"</formula>
    </cfRule>
  </conditionalFormatting>
  <conditionalFormatting sqref="C15:E15">
    <cfRule type="expression" dxfId="128" priority="22">
      <formula>H7="Yes"</formula>
    </cfRule>
  </conditionalFormatting>
  <conditionalFormatting sqref="C16:E16">
    <cfRule type="expression" dxfId="127" priority="21">
      <formula>H7="Yes"</formula>
    </cfRule>
  </conditionalFormatting>
  <conditionalFormatting sqref="C17:E17">
    <cfRule type="expression" dxfId="126" priority="20">
      <formula>H7="Yes"</formula>
    </cfRule>
  </conditionalFormatting>
  <conditionalFormatting sqref="C18:E18">
    <cfRule type="expression" dxfId="125" priority="19">
      <formula>H7="Yes"</formula>
    </cfRule>
  </conditionalFormatting>
  <conditionalFormatting sqref="C19:E19">
    <cfRule type="expression" dxfId="124" priority="18">
      <formula>H7="Yes"</formula>
    </cfRule>
  </conditionalFormatting>
  <conditionalFormatting sqref="C20:E20">
    <cfRule type="expression" dxfId="123" priority="17">
      <formula>H7="Yes"</formula>
    </cfRule>
  </conditionalFormatting>
  <conditionalFormatting sqref="C23:E23">
    <cfRule type="expression" dxfId="122" priority="16">
      <formula>H9="Yes"</formula>
    </cfRule>
  </conditionalFormatting>
  <conditionalFormatting sqref="F13:G13">
    <cfRule type="expression" dxfId="121" priority="15">
      <formula>H7="Yes"</formula>
    </cfRule>
  </conditionalFormatting>
  <conditionalFormatting sqref="F14:G14">
    <cfRule type="expression" dxfId="120" priority="14">
      <formula>H7="Yes"</formula>
    </cfRule>
  </conditionalFormatting>
  <conditionalFormatting sqref="F15:G15">
    <cfRule type="expression" dxfId="119" priority="13">
      <formula>H7="Yes"</formula>
    </cfRule>
  </conditionalFormatting>
  <conditionalFormatting sqref="F16:G16">
    <cfRule type="expression" dxfId="118" priority="12">
      <formula>H7="Yes"</formula>
    </cfRule>
  </conditionalFormatting>
  <conditionalFormatting sqref="F17:G17">
    <cfRule type="expression" dxfId="117" priority="11">
      <formula>H7="Yes"</formula>
    </cfRule>
  </conditionalFormatting>
  <conditionalFormatting sqref="F18:G18">
    <cfRule type="expression" dxfId="116" priority="10">
      <formula>H7="Yes"</formula>
    </cfRule>
  </conditionalFormatting>
  <conditionalFormatting sqref="F19:G19">
    <cfRule type="expression" dxfId="115" priority="9">
      <formula>H7="Yes"</formula>
    </cfRule>
  </conditionalFormatting>
  <conditionalFormatting sqref="F20:G20">
    <cfRule type="expression" dxfId="114" priority="8">
      <formula>H7="Yes"</formula>
    </cfRule>
  </conditionalFormatting>
  <conditionalFormatting sqref="F23:G23">
    <cfRule type="expression" dxfId="113" priority="1">
      <formula>OR(H9="Select Option",H9="No")</formula>
    </cfRule>
    <cfRule type="expression" dxfId="112" priority="7">
      <formula>H9="Yes"</formula>
    </cfRule>
  </conditionalFormatting>
  <conditionalFormatting sqref="B9:G9">
    <cfRule type="expression" dxfId="111" priority="3">
      <formula>AND(H7="Yes",H8&lt;&gt;"Select Option")</formula>
    </cfRule>
  </conditionalFormatting>
  <conditionalFormatting sqref="H9">
    <cfRule type="expression" dxfId="110" priority="2">
      <formula>AND(H7="Yes",H8&lt;&gt;"Select Option")</formula>
    </cfRule>
  </conditionalFormatting>
  <conditionalFormatting sqref="A11">
    <cfRule type="expression" dxfId="109" priority="157">
      <formula>H7="No"</formula>
    </cfRule>
  </conditionalFormatting>
  <conditionalFormatting sqref="C22:E22">
    <cfRule type="expression" dxfId="108" priority="158">
      <formula>H7="Yes"</formula>
    </cfRule>
  </conditionalFormatting>
  <conditionalFormatting sqref="F22:G22">
    <cfRule type="expression" dxfId="107" priority="160">
      <formula>OR(H7="Select Option",H7="No")</formula>
    </cfRule>
    <cfRule type="expression" dxfId="106" priority="161">
      <formula>H7="Yes"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5" r:id="rId4" name="Button 3">
              <controlPr locked="0" defaultSize="0" print="0" autoFill="0" autoPict="0" macro="[0]!Rental_Click">
                <anchor moveWithCells="1" sizeWithCells="1">
                  <from>
                    <xdr:col>8</xdr:col>
                    <xdr:colOff>323850</xdr:colOff>
                    <xdr:row>6</xdr:row>
                    <xdr:rowOff>190500</xdr:rowOff>
                  </from>
                  <to>
                    <xdr:col>9</xdr:col>
                    <xdr:colOff>523875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F3FBDA-2785-4F6A-A673-33BAEB91941B}">
          <x14:formula1>
            <xm:f>Lists!$E$11:$E$13</xm:f>
          </x14:formula1>
          <xm:sqref>H7:H8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F3142-E278-4E3A-AF5D-EBBA3ABF2876}">
  <sheetPr codeName="Sheet22"/>
  <dimension ref="A1:N20"/>
  <sheetViews>
    <sheetView workbookViewId="0">
      <selection activeCell="G6" sqref="G6"/>
    </sheetView>
  </sheetViews>
  <sheetFormatPr defaultColWidth="0" defaultRowHeight="14.25" zeroHeight="1"/>
  <cols>
    <col min="1" max="1" width="8.875" style="52" customWidth="1"/>
    <col min="2" max="2" width="14.375" style="52" customWidth="1"/>
    <col min="3" max="3" width="13.75" style="52" customWidth="1"/>
    <col min="4" max="4" width="13.625" style="52" customWidth="1"/>
    <col min="5" max="5" width="15.25" style="52" customWidth="1"/>
    <col min="6" max="6" width="14" style="52" customWidth="1"/>
    <col min="7" max="7" width="15.875" style="52" customWidth="1"/>
    <col min="8" max="9" width="8.875" style="52" customWidth="1"/>
    <col min="10" max="11" width="8.875" hidden="1" customWidth="1"/>
    <col min="12" max="12" width="16.625" hidden="1" customWidth="1"/>
    <col min="13" max="13" width="8.875" hidden="1" customWidth="1"/>
    <col min="14" max="14" width="10.625" hidden="1" customWidth="1"/>
    <col min="15" max="16384" width="8.875" hidden="1"/>
  </cols>
  <sheetData>
    <row r="1" spans="1:14" ht="16.5" customHeight="1">
      <c r="A1" s="143" t="s">
        <v>128</v>
      </c>
      <c r="B1" s="143"/>
      <c r="C1" s="143"/>
      <c r="D1" s="143"/>
      <c r="E1" s="143"/>
      <c r="F1" s="143"/>
      <c r="G1" s="143"/>
      <c r="H1" s="143"/>
      <c r="I1" s="143"/>
    </row>
    <row r="2" spans="1:14" ht="16.5" customHeight="1">
      <c r="A2" s="143"/>
      <c r="B2" s="143"/>
      <c r="C2" s="143"/>
      <c r="D2" s="143"/>
      <c r="E2" s="143"/>
      <c r="F2" s="143"/>
      <c r="G2" s="143"/>
      <c r="H2" s="143"/>
      <c r="I2" s="143"/>
    </row>
    <row r="3" spans="1:14" ht="16.5" customHeight="1">
      <c r="A3" s="143"/>
      <c r="B3" s="143"/>
      <c r="C3" s="143"/>
      <c r="D3" s="143"/>
      <c r="E3" s="143"/>
      <c r="F3" s="143"/>
      <c r="G3" s="143"/>
      <c r="H3" s="143"/>
      <c r="I3" s="143"/>
    </row>
    <row r="4" spans="1:14" ht="16.5" customHeight="1">
      <c r="A4" s="143"/>
      <c r="B4" s="143"/>
      <c r="C4" s="143"/>
      <c r="D4" s="143"/>
      <c r="E4" s="143"/>
      <c r="F4" s="143"/>
      <c r="G4" s="143"/>
      <c r="H4" s="143"/>
      <c r="I4" s="143"/>
    </row>
    <row r="5" spans="1:14">
      <c r="A5" s="49"/>
      <c r="B5" s="49"/>
      <c r="C5" s="49"/>
      <c r="D5" s="49"/>
      <c r="E5" s="49"/>
      <c r="F5" s="49"/>
      <c r="G5" s="49"/>
      <c r="H5" s="49"/>
      <c r="I5" s="49"/>
    </row>
    <row r="6" spans="1:14">
      <c r="A6" s="49"/>
      <c r="B6" s="182" t="s">
        <v>129</v>
      </c>
      <c r="C6" s="191"/>
      <c r="D6" s="191"/>
      <c r="E6" s="191"/>
      <c r="F6" s="264"/>
      <c r="G6" s="133" t="s">
        <v>29</v>
      </c>
      <c r="H6" s="49"/>
      <c r="I6" s="49"/>
    </row>
    <row r="7" spans="1:14">
      <c r="A7" s="49"/>
      <c r="B7" s="188" t="s">
        <v>130</v>
      </c>
      <c r="C7" s="188"/>
      <c r="D7" s="188"/>
      <c r="E7" s="188"/>
      <c r="F7" s="188"/>
      <c r="G7" s="79" t="s">
        <v>29</v>
      </c>
      <c r="H7" s="49"/>
      <c r="I7" s="49"/>
    </row>
    <row r="8" spans="1:14">
      <c r="A8" s="49"/>
      <c r="B8" s="49"/>
      <c r="C8" s="49"/>
      <c r="D8" s="49"/>
      <c r="E8" s="49"/>
      <c r="F8" s="49"/>
      <c r="G8" s="49"/>
      <c r="H8" s="49"/>
      <c r="I8" s="49"/>
      <c r="L8" t="s">
        <v>87</v>
      </c>
      <c r="N8" t="s">
        <v>169</v>
      </c>
    </row>
    <row r="9" spans="1:14">
      <c r="A9" s="49"/>
      <c r="B9" s="187" t="s">
        <v>131</v>
      </c>
      <c r="C9" s="187"/>
      <c r="D9" s="187"/>
      <c r="E9" s="187"/>
      <c r="F9" s="187"/>
      <c r="G9" s="187"/>
      <c r="H9" s="187"/>
      <c r="I9" s="49"/>
      <c r="L9" s="3">
        <f>(G11+G12)/24</f>
        <v>0</v>
      </c>
      <c r="N9" s="3">
        <f>G12/12</f>
        <v>0</v>
      </c>
    </row>
    <row r="10" spans="1:14">
      <c r="A10" s="49"/>
      <c r="B10" s="255" t="s">
        <v>147</v>
      </c>
      <c r="C10" s="255"/>
      <c r="D10" s="255"/>
      <c r="E10" s="255"/>
      <c r="F10" s="255"/>
      <c r="G10" s="255"/>
      <c r="H10" s="255"/>
      <c r="I10" s="49"/>
    </row>
    <row r="11" spans="1:14">
      <c r="A11" s="49"/>
      <c r="B11" s="49"/>
      <c r="C11" s="49"/>
      <c r="D11" s="189" t="s">
        <v>134</v>
      </c>
      <c r="E11" s="189"/>
      <c r="F11" s="189"/>
      <c r="G11" s="59"/>
      <c r="H11" s="49"/>
      <c r="I11" s="49"/>
      <c r="L11" t="s">
        <v>176</v>
      </c>
    </row>
    <row r="12" spans="1:14">
      <c r="A12" s="49"/>
      <c r="B12" s="49"/>
      <c r="C12" s="49"/>
      <c r="D12" s="189" t="s">
        <v>132</v>
      </c>
      <c r="E12" s="189"/>
      <c r="F12" s="189"/>
      <c r="G12" s="59"/>
      <c r="H12" s="49"/>
      <c r="I12" s="49"/>
      <c r="L12" s="3">
        <f>IF(AND(G6="Yes",G11&gt;G12),N9,IF(AND(G6="Yes",G12&gt;=G11),L9,IF(AND(G6="No",G7="Yes"),N9,0)))</f>
        <v>0</v>
      </c>
    </row>
    <row r="13" spans="1:14">
      <c r="A13" s="49"/>
      <c r="B13" s="49"/>
      <c r="C13" s="49"/>
      <c r="D13" s="49"/>
      <c r="E13" s="49"/>
      <c r="F13" s="49"/>
      <c r="G13" s="49"/>
      <c r="H13" s="49"/>
      <c r="I13" s="49"/>
    </row>
    <row r="14" spans="1:14">
      <c r="A14" s="49"/>
      <c r="B14" s="49"/>
      <c r="C14" s="49"/>
      <c r="D14" s="189" t="s">
        <v>133</v>
      </c>
      <c r="E14" s="189"/>
      <c r="F14" s="189"/>
      <c r="G14" s="61">
        <f>L12</f>
        <v>0</v>
      </c>
      <c r="H14" s="49"/>
      <c r="I14" s="49"/>
    </row>
    <row r="15" spans="1:14">
      <c r="A15" s="49"/>
      <c r="B15" s="49"/>
      <c r="C15" s="49"/>
      <c r="D15" s="49"/>
      <c r="E15" s="49"/>
      <c r="F15" s="49"/>
      <c r="G15" s="49"/>
      <c r="H15" s="49"/>
      <c r="I15" s="49"/>
    </row>
    <row r="16" spans="1:14">
      <c r="A16" s="158" t="s">
        <v>177</v>
      </c>
      <c r="B16" s="158"/>
      <c r="C16" s="158"/>
      <c r="D16" s="158"/>
      <c r="E16" s="158"/>
      <c r="F16" s="158"/>
      <c r="G16" s="158"/>
      <c r="H16" s="158"/>
      <c r="I16" s="158"/>
    </row>
    <row r="17" spans="1:8">
      <c r="A17" s="49"/>
      <c r="B17" s="49"/>
      <c r="C17" s="49"/>
      <c r="D17" s="49"/>
      <c r="E17" s="49"/>
      <c r="F17" s="49"/>
      <c r="G17" s="49"/>
      <c r="H17" s="49"/>
    </row>
    <row r="18" spans="1:8" hidden="1">
      <c r="A18" s="49"/>
      <c r="B18" s="49"/>
      <c r="C18" s="49"/>
      <c r="D18" s="49"/>
      <c r="E18" s="49"/>
      <c r="F18" s="49"/>
      <c r="G18" s="49"/>
      <c r="H18" s="49"/>
    </row>
    <row r="19" spans="1:8" hidden="1">
      <c r="A19" s="49"/>
      <c r="B19" s="49"/>
      <c r="C19" s="49"/>
      <c r="D19" s="49"/>
      <c r="E19" s="49"/>
      <c r="F19" s="49"/>
      <c r="G19" s="49"/>
      <c r="H19" s="49"/>
    </row>
    <row r="20" spans="1:8" hidden="1">
      <c r="A20" s="49"/>
      <c r="B20" s="49"/>
      <c r="C20" s="49"/>
      <c r="D20" s="49"/>
      <c r="E20" s="49"/>
      <c r="F20" s="49"/>
      <c r="G20" s="49"/>
      <c r="H20" s="49"/>
    </row>
  </sheetData>
  <sheetProtection algorithmName="SHA-512" hashValue="4FCkPYZlgYCT23+gAWJJNcS0pFG4oFbR5VUPuWscJEIf7apAut0oD5SEGg/cWIf/y7nV7tbb4MLxNWampJlwEg==" saltValue="ntZiO43qjDLFxs5nsZABog==" spinCount="100000" sheet="1" selectLockedCells="1"/>
  <mergeCells count="9">
    <mergeCell ref="A16:I16"/>
    <mergeCell ref="A1:I4"/>
    <mergeCell ref="D14:F14"/>
    <mergeCell ref="B6:F6"/>
    <mergeCell ref="B7:F7"/>
    <mergeCell ref="D11:F11"/>
    <mergeCell ref="D12:F12"/>
    <mergeCell ref="B10:H10"/>
    <mergeCell ref="B9:H9"/>
  </mergeCells>
  <conditionalFormatting sqref="B7:F7">
    <cfRule type="expression" dxfId="105" priority="14">
      <formula>G6="No"</formula>
    </cfRule>
  </conditionalFormatting>
  <conditionalFormatting sqref="G7">
    <cfRule type="expression" dxfId="104" priority="13">
      <formula>G6="No"</formula>
    </cfRule>
  </conditionalFormatting>
  <conditionalFormatting sqref="B9">
    <cfRule type="expression" dxfId="103" priority="12">
      <formula>AND(G6="No",G7="No")</formula>
    </cfRule>
  </conditionalFormatting>
  <conditionalFormatting sqref="D11:F11">
    <cfRule type="expression" dxfId="102" priority="11">
      <formula>G6="Yes"</formula>
    </cfRule>
  </conditionalFormatting>
  <conditionalFormatting sqref="G11">
    <cfRule type="expression" dxfId="101" priority="9">
      <formula>G6="Yes"</formula>
    </cfRule>
  </conditionalFormatting>
  <conditionalFormatting sqref="D12:F12">
    <cfRule type="expression" dxfId="100" priority="3">
      <formula>G6="Yes"</formula>
    </cfRule>
    <cfRule type="expression" dxfId="99" priority="8">
      <formula>AND(G6="No",G7="Yes")</formula>
    </cfRule>
  </conditionalFormatting>
  <conditionalFormatting sqref="G12">
    <cfRule type="expression" dxfId="98" priority="2">
      <formula>G6="Yes"</formula>
    </cfRule>
    <cfRule type="expression" dxfId="97" priority="7">
      <formula>AND(G6="No",G7="Yes")</formula>
    </cfRule>
  </conditionalFormatting>
  <conditionalFormatting sqref="D14:F14">
    <cfRule type="expression" dxfId="96" priority="6">
      <formula>OR(G6="Yes",G7="Yes")</formula>
    </cfRule>
  </conditionalFormatting>
  <conditionalFormatting sqref="G14">
    <cfRule type="expression" dxfId="95" priority="4">
      <formula>OR(G6="Yes",G7="Yes")</formula>
    </cfRule>
  </conditionalFormatting>
  <conditionalFormatting sqref="B10">
    <cfRule type="expression" dxfId="94" priority="147">
      <formula>AND(G6="No",G7="Yes")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9" r:id="rId4" name="Button 3">
              <controlPr locked="0" defaultSize="0" print="0" autoFill="0" autoPict="0" macro="[0]!Royalty_Click">
                <anchor moveWithCells="1" sizeWithCells="1">
                  <from>
                    <xdr:col>7</xdr:col>
                    <xdr:colOff>342900</xdr:colOff>
                    <xdr:row>5</xdr:row>
                    <xdr:rowOff>190500</xdr:rowOff>
                  </from>
                  <to>
                    <xdr:col>8</xdr:col>
                    <xdr:colOff>542925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EF0B72-95F3-4B0F-B2D4-56E5C5455064}">
          <x14:formula1>
            <xm:f>Lists!$E$11:$E$13</xm:f>
          </x14:formula1>
          <xm:sqref>G6 G7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C98CF-59CE-419C-BFFF-203E1E10D4C8}">
  <sheetPr codeName="Sheet23"/>
  <dimension ref="A1:I19"/>
  <sheetViews>
    <sheetView zoomScaleNormal="100" workbookViewId="0">
      <selection activeCell="G6" sqref="G6"/>
    </sheetView>
  </sheetViews>
  <sheetFormatPr defaultColWidth="0" defaultRowHeight="14.25" zeroHeight="1"/>
  <cols>
    <col min="1" max="1" width="8.875" customWidth="1"/>
    <col min="2" max="2" width="11.125" customWidth="1"/>
    <col min="3" max="3" width="10.875" customWidth="1"/>
    <col min="4" max="4" width="12.25" customWidth="1"/>
    <col min="5" max="5" width="12" customWidth="1"/>
    <col min="6" max="6" width="11.625" customWidth="1"/>
    <col min="7" max="7" width="16.375" customWidth="1"/>
    <col min="8" max="8" width="8.875" customWidth="1"/>
    <col min="9" max="9" width="8.875" style="1" customWidth="1"/>
    <col min="10" max="16384" width="8.875" hidden="1"/>
  </cols>
  <sheetData>
    <row r="1" spans="1:9" ht="16.5" customHeight="1">
      <c r="A1" s="143" t="s">
        <v>136</v>
      </c>
      <c r="B1" s="143"/>
      <c r="C1" s="143"/>
      <c r="D1" s="143"/>
      <c r="E1" s="143"/>
      <c r="F1" s="143"/>
      <c r="G1" s="143"/>
      <c r="H1" s="143"/>
      <c r="I1" s="143"/>
    </row>
    <row r="2" spans="1:9" ht="16.5" customHeight="1">
      <c r="A2" s="143"/>
      <c r="B2" s="143"/>
      <c r="C2" s="143"/>
      <c r="D2" s="143"/>
      <c r="E2" s="143"/>
      <c r="F2" s="143"/>
      <c r="G2" s="143"/>
      <c r="H2" s="143"/>
      <c r="I2" s="143"/>
    </row>
    <row r="3" spans="1:9" ht="16.5" customHeight="1">
      <c r="A3" s="143"/>
      <c r="B3" s="143"/>
      <c r="C3" s="143"/>
      <c r="D3" s="143"/>
      <c r="E3" s="143"/>
      <c r="F3" s="143"/>
      <c r="G3" s="143"/>
      <c r="H3" s="143"/>
      <c r="I3" s="143"/>
    </row>
    <row r="4" spans="1:9" ht="16.5" customHeight="1">
      <c r="A4" s="143"/>
      <c r="B4" s="143"/>
      <c r="C4" s="143"/>
      <c r="D4" s="143"/>
      <c r="E4" s="143"/>
      <c r="F4" s="143"/>
      <c r="G4" s="143"/>
      <c r="H4" s="143"/>
      <c r="I4" s="143"/>
    </row>
    <row r="5" spans="1:9">
      <c r="A5" s="49"/>
      <c r="B5" s="49"/>
      <c r="C5" s="49"/>
      <c r="D5" s="49"/>
      <c r="E5" s="49"/>
      <c r="F5" s="49"/>
      <c r="G5" s="49"/>
      <c r="H5" s="49"/>
      <c r="I5" s="49"/>
    </row>
    <row r="6" spans="1:9">
      <c r="A6" s="49"/>
      <c r="B6" s="153" t="s">
        <v>138</v>
      </c>
      <c r="C6" s="184"/>
      <c r="D6" s="184"/>
      <c r="E6" s="184"/>
      <c r="F6" s="154"/>
      <c r="G6" s="133" t="s">
        <v>29</v>
      </c>
      <c r="H6" s="49"/>
      <c r="I6" s="49"/>
    </row>
    <row r="7" spans="1:9">
      <c r="A7" s="49"/>
      <c r="B7" s="153" t="s">
        <v>137</v>
      </c>
      <c r="C7" s="184"/>
      <c r="D7" s="184"/>
      <c r="E7" s="184"/>
      <c r="F7" s="154"/>
      <c r="G7" s="133" t="s">
        <v>29</v>
      </c>
      <c r="H7" s="49"/>
      <c r="I7" s="49"/>
    </row>
    <row r="8" spans="1:9">
      <c r="A8" s="49"/>
      <c r="B8" s="49"/>
      <c r="C8" s="49"/>
      <c r="D8" s="49"/>
      <c r="E8" s="49"/>
      <c r="F8" s="49"/>
      <c r="G8" s="49"/>
      <c r="H8" s="49"/>
      <c r="I8" s="49"/>
    </row>
    <row r="9" spans="1:9">
      <c r="A9" s="49"/>
      <c r="B9" s="187" t="s">
        <v>139</v>
      </c>
      <c r="C9" s="187"/>
      <c r="D9" s="187"/>
      <c r="E9" s="187"/>
      <c r="F9" s="187"/>
      <c r="G9" s="187"/>
      <c r="H9" s="49"/>
      <c r="I9" s="49"/>
    </row>
    <row r="10" spans="1:9">
      <c r="A10" s="49"/>
      <c r="B10" s="49"/>
      <c r="C10" s="49"/>
      <c r="D10" s="189" t="s">
        <v>140</v>
      </c>
      <c r="E10" s="189"/>
      <c r="F10" s="189"/>
      <c r="G10" s="59"/>
      <c r="H10" s="49"/>
      <c r="I10" s="49"/>
    </row>
    <row r="11" spans="1:9">
      <c r="A11" s="49"/>
      <c r="B11" s="49"/>
      <c r="C11" s="49"/>
      <c r="D11" s="49"/>
      <c r="E11" s="49"/>
      <c r="F11" s="49"/>
      <c r="G11" s="49"/>
      <c r="H11" s="49"/>
      <c r="I11" s="49"/>
    </row>
    <row r="12" spans="1:9">
      <c r="A12" s="49"/>
      <c r="B12" s="49"/>
      <c r="C12" s="49"/>
      <c r="D12" s="189" t="s">
        <v>7</v>
      </c>
      <c r="E12" s="189"/>
      <c r="F12" s="189"/>
      <c r="G12" s="78">
        <f>G10*1.0375</f>
        <v>0</v>
      </c>
      <c r="H12" s="49"/>
      <c r="I12" s="49"/>
    </row>
    <row r="13" spans="1:9">
      <c r="A13" s="49"/>
      <c r="B13" s="50"/>
      <c r="C13" s="50"/>
      <c r="D13" s="219"/>
      <c r="E13" s="219"/>
      <c r="F13" s="219"/>
      <c r="G13" s="50"/>
      <c r="H13" s="49"/>
      <c r="I13" s="49"/>
    </row>
    <row r="14" spans="1:9">
      <c r="A14" s="49"/>
      <c r="B14" s="187" t="s">
        <v>141</v>
      </c>
      <c r="C14" s="187"/>
      <c r="D14" s="187"/>
      <c r="E14" s="187"/>
      <c r="F14" s="187"/>
      <c r="G14" s="187"/>
      <c r="H14" s="49"/>
      <c r="I14" s="49"/>
    </row>
    <row r="15" spans="1:9">
      <c r="A15" s="49"/>
      <c r="B15" s="49"/>
      <c r="C15" s="49"/>
      <c r="D15" s="49"/>
      <c r="E15" s="49"/>
      <c r="F15" s="49"/>
      <c r="G15" s="49"/>
      <c r="H15" s="49"/>
      <c r="I15" s="49"/>
    </row>
    <row r="16" spans="1:9" hidden="1">
      <c r="A16" s="1"/>
      <c r="B16" s="1"/>
      <c r="C16" s="1"/>
      <c r="D16" s="1"/>
      <c r="E16" s="1"/>
      <c r="F16" s="1"/>
      <c r="G16" s="1"/>
      <c r="H16" s="1"/>
    </row>
    <row r="17" spans="1:8" hidden="1">
      <c r="A17" s="1"/>
      <c r="B17" s="1"/>
      <c r="C17" s="1"/>
      <c r="D17" s="1"/>
      <c r="E17" s="1"/>
      <c r="F17" s="1"/>
      <c r="G17" s="1"/>
      <c r="H17" s="1"/>
    </row>
    <row r="18" spans="1:8" hidden="1">
      <c r="A18" s="1"/>
      <c r="B18" s="1"/>
      <c r="C18" s="1"/>
      <c r="D18" s="1"/>
      <c r="E18" s="1"/>
      <c r="F18" s="1"/>
      <c r="G18" s="1"/>
      <c r="H18" s="1"/>
    </row>
    <row r="19" spans="1:8" hidden="1">
      <c r="A19" s="1"/>
      <c r="B19" s="1"/>
      <c r="C19" s="1"/>
      <c r="D19" s="1"/>
      <c r="E19" s="1"/>
      <c r="F19" s="1"/>
      <c r="G19" s="1"/>
      <c r="H19" s="1"/>
    </row>
  </sheetData>
  <sheetProtection algorithmName="SHA-512" hashValue="m0zmam5Rv6WGAe78mz1OgHEwA2e7a0EyMt+03v/10L7ZnShVqlIsECBO2zsbkY4Lx9ULaLSJOhHh6adKjb0NIw==" saltValue="UpK+2gCqNJCRkelmEhTRlQ==" spinCount="100000" sheet="1" objects="1" scenarios="1" selectLockedCells="1"/>
  <mergeCells count="8">
    <mergeCell ref="A1:I4"/>
    <mergeCell ref="B14:G14"/>
    <mergeCell ref="B7:F7"/>
    <mergeCell ref="B6:F6"/>
    <mergeCell ref="B9:G9"/>
    <mergeCell ref="D10:F10"/>
    <mergeCell ref="D13:F13"/>
    <mergeCell ref="D12:F12"/>
  </mergeCells>
  <conditionalFormatting sqref="B9:G9">
    <cfRule type="expression" dxfId="93" priority="6">
      <formula>G6="No"</formula>
    </cfRule>
  </conditionalFormatting>
  <conditionalFormatting sqref="D10:F10">
    <cfRule type="expression" dxfId="92" priority="5">
      <formula>G6="Yes"</formula>
    </cfRule>
  </conditionalFormatting>
  <conditionalFormatting sqref="G10">
    <cfRule type="expression" dxfId="91" priority="4">
      <formula>G6="Yes"</formula>
    </cfRule>
  </conditionalFormatting>
  <conditionalFormatting sqref="B14:G14">
    <cfRule type="expression" dxfId="90" priority="3">
      <formula>G7="No"</formula>
    </cfRule>
  </conditionalFormatting>
  <conditionalFormatting sqref="G12">
    <cfRule type="expression" dxfId="89" priority="2">
      <formula>G6="Yes"</formula>
    </cfRule>
  </conditionalFormatting>
  <conditionalFormatting sqref="D12:F12">
    <cfRule type="expression" dxfId="88" priority="1">
      <formula>G6="yes"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3" r:id="rId4" name="Button 3">
              <controlPr locked="0" defaultSize="0" print="0" autoFill="0" autoPict="0" macro="[0]!SocialSecurity_Click">
                <anchor moveWithCells="1" sizeWithCells="1">
                  <from>
                    <xdr:col>7</xdr:col>
                    <xdr:colOff>323850</xdr:colOff>
                    <xdr:row>5</xdr:row>
                    <xdr:rowOff>190500</xdr:rowOff>
                  </from>
                  <to>
                    <xdr:col>8</xdr:col>
                    <xdr:colOff>523875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84FB3E-C7FD-409D-B4B2-B12EB7D43CA7}">
          <x14:formula1>
            <xm:f>Lists!$E$11:$E$13</xm:f>
          </x14:formula1>
          <xm:sqref>G6:G7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94314-5E55-4BBF-86E8-BAF5C72A944F}">
  <sheetPr codeName="Sheet24"/>
  <dimension ref="A1:I18"/>
  <sheetViews>
    <sheetView workbookViewId="0">
      <selection activeCell="G6" sqref="G6"/>
    </sheetView>
  </sheetViews>
  <sheetFormatPr defaultColWidth="0" defaultRowHeight="14.25" zeroHeight="1"/>
  <cols>
    <col min="1" max="1" width="8.875" style="52" customWidth="1"/>
    <col min="2" max="2" width="17.375" style="52" customWidth="1"/>
    <col min="3" max="3" width="15.625" style="52" customWidth="1"/>
    <col min="4" max="4" width="13.625" style="52" customWidth="1"/>
    <col min="5" max="5" width="13" style="52" customWidth="1"/>
    <col min="6" max="6" width="8.875" style="52" customWidth="1"/>
    <col min="7" max="7" width="16.125" style="52" customWidth="1"/>
    <col min="8" max="9" width="8.875" style="52" customWidth="1"/>
    <col min="10" max="16384" width="8.875" hidden="1"/>
  </cols>
  <sheetData>
    <row r="1" spans="1:9" ht="16.5" customHeight="1">
      <c r="A1" s="143" t="s">
        <v>143</v>
      </c>
      <c r="B1" s="143"/>
      <c r="C1" s="143"/>
      <c r="D1" s="143"/>
      <c r="E1" s="143"/>
      <c r="F1" s="143"/>
      <c r="G1" s="143"/>
      <c r="H1" s="143"/>
      <c r="I1" s="143"/>
    </row>
    <row r="2" spans="1:9" ht="16.5" customHeight="1">
      <c r="A2" s="143"/>
      <c r="B2" s="143"/>
      <c r="C2" s="143"/>
      <c r="D2" s="143"/>
      <c r="E2" s="143"/>
      <c r="F2" s="143"/>
      <c r="G2" s="143"/>
      <c r="H2" s="143"/>
      <c r="I2" s="143"/>
    </row>
    <row r="3" spans="1:9" ht="16.5" customHeight="1">
      <c r="A3" s="143"/>
      <c r="B3" s="143"/>
      <c r="C3" s="143"/>
      <c r="D3" s="143"/>
      <c r="E3" s="143"/>
      <c r="F3" s="143"/>
      <c r="G3" s="143"/>
      <c r="H3" s="143"/>
      <c r="I3" s="143"/>
    </row>
    <row r="4" spans="1:9" ht="16.5" customHeight="1">
      <c r="A4" s="143"/>
      <c r="B4" s="143"/>
      <c r="C4" s="143"/>
      <c r="D4" s="143"/>
      <c r="E4" s="143"/>
      <c r="F4" s="143"/>
      <c r="G4" s="143"/>
      <c r="H4" s="143"/>
      <c r="I4" s="143"/>
    </row>
    <row r="5" spans="1:9" s="1" customFormat="1">
      <c r="A5" s="49"/>
      <c r="B5" s="49"/>
      <c r="C5" s="49"/>
      <c r="D5" s="49"/>
      <c r="E5" s="49"/>
      <c r="F5" s="49"/>
      <c r="G5" s="49"/>
      <c r="H5" s="49"/>
      <c r="I5" s="49"/>
    </row>
    <row r="6" spans="1:9" s="1" customFormat="1">
      <c r="A6" s="49"/>
      <c r="B6" s="153" t="s">
        <v>144</v>
      </c>
      <c r="C6" s="184"/>
      <c r="D6" s="184"/>
      <c r="E6" s="184"/>
      <c r="F6" s="154"/>
      <c r="G6" s="133" t="s">
        <v>29</v>
      </c>
      <c r="H6" s="49"/>
      <c r="I6" s="49"/>
    </row>
    <row r="7" spans="1:9" s="1" customFormat="1">
      <c r="A7" s="49"/>
      <c r="B7" s="153" t="s">
        <v>213</v>
      </c>
      <c r="C7" s="184"/>
      <c r="D7" s="184"/>
      <c r="E7" s="184"/>
      <c r="F7" s="154"/>
      <c r="G7" s="133" t="s">
        <v>29</v>
      </c>
      <c r="H7" s="49"/>
      <c r="I7" s="49"/>
    </row>
    <row r="8" spans="1:9" s="1" customFormat="1">
      <c r="A8" s="49"/>
      <c r="B8" s="49"/>
      <c r="C8" s="49"/>
      <c r="D8" s="49"/>
      <c r="E8" s="49"/>
      <c r="F8" s="49"/>
      <c r="G8" s="49"/>
      <c r="H8" s="49"/>
      <c r="I8" s="49"/>
    </row>
    <row r="9" spans="1:9" s="1" customFormat="1">
      <c r="A9" s="49"/>
      <c r="B9" s="255" t="s">
        <v>145</v>
      </c>
      <c r="C9" s="255"/>
      <c r="D9" s="255"/>
      <c r="E9" s="255"/>
      <c r="F9" s="255"/>
      <c r="G9" s="255"/>
      <c r="H9" s="49"/>
      <c r="I9" s="49"/>
    </row>
    <row r="10" spans="1:9" s="1" customFormat="1">
      <c r="A10" s="49"/>
      <c r="B10" s="49"/>
      <c r="C10" s="49"/>
      <c r="D10" s="49"/>
      <c r="E10" s="49"/>
      <c r="F10" s="49"/>
      <c r="G10" s="49"/>
      <c r="H10" s="49"/>
      <c r="I10" s="49"/>
    </row>
    <row r="11" spans="1:9" s="1" customFormat="1">
      <c r="A11" s="49"/>
      <c r="B11" s="49"/>
      <c r="C11" s="49"/>
      <c r="D11" s="189" t="s">
        <v>60</v>
      </c>
      <c r="E11" s="189"/>
      <c r="F11" s="189"/>
      <c r="G11" s="59"/>
      <c r="H11" s="49"/>
      <c r="I11" s="49"/>
    </row>
    <row r="12" spans="1:9" s="1" customFormat="1">
      <c r="A12" s="49"/>
      <c r="B12" s="49"/>
      <c r="C12" s="49"/>
      <c r="D12" s="49"/>
      <c r="E12" s="49"/>
      <c r="F12" s="49"/>
      <c r="G12" s="49"/>
      <c r="H12" s="49"/>
      <c r="I12" s="49"/>
    </row>
    <row r="13" spans="1:9" s="1" customFormat="1">
      <c r="A13" s="49"/>
      <c r="B13" s="49"/>
      <c r="C13" s="49"/>
      <c r="D13" s="189" t="s">
        <v>7</v>
      </c>
      <c r="E13" s="189"/>
      <c r="F13" s="189"/>
      <c r="G13" s="61">
        <f>G11</f>
        <v>0</v>
      </c>
      <c r="H13" s="49"/>
      <c r="I13" s="49"/>
    </row>
    <row r="14" spans="1:9">
      <c r="A14" s="49"/>
      <c r="B14" s="49"/>
      <c r="C14" s="49"/>
      <c r="D14" s="49"/>
      <c r="E14" s="49"/>
      <c r="F14" s="49"/>
      <c r="G14" s="49"/>
      <c r="H14" s="49"/>
    </row>
    <row r="15" spans="1:9" hidden="1">
      <c r="A15" s="49"/>
      <c r="B15" s="49"/>
      <c r="C15" s="49"/>
      <c r="D15" s="49"/>
      <c r="E15" s="49"/>
      <c r="F15" s="49"/>
      <c r="G15" s="49"/>
      <c r="H15" s="49"/>
    </row>
    <row r="16" spans="1:9" hidden="1">
      <c r="A16" s="49"/>
      <c r="B16" s="49"/>
      <c r="C16" s="49"/>
      <c r="D16" s="49"/>
      <c r="E16" s="49"/>
      <c r="F16" s="49"/>
      <c r="G16" s="49"/>
      <c r="H16" s="49"/>
    </row>
    <row r="17" spans="1:8" hidden="1">
      <c r="A17" s="49"/>
      <c r="B17" s="49"/>
      <c r="C17" s="49"/>
      <c r="D17" s="49"/>
      <c r="E17" s="49"/>
      <c r="F17" s="49"/>
      <c r="G17" s="49"/>
      <c r="H17" s="49"/>
    </row>
    <row r="18" spans="1:8" hidden="1">
      <c r="A18" s="49"/>
      <c r="B18" s="49"/>
      <c r="C18" s="49"/>
      <c r="D18" s="49"/>
      <c r="E18" s="49"/>
      <c r="F18" s="49"/>
      <c r="G18" s="49"/>
      <c r="H18" s="49"/>
    </row>
  </sheetData>
  <sheetProtection algorithmName="SHA-512" hashValue="ukrsqB5SsRq7U1VmA/MpIgVH0rIBuevDXX9NYNERNGmZJGeUWdzB2rwLkvOicz6n3l448rnKKXhpVmYK/x8daw==" saltValue="Tp4QP7GqRVuTNKJAKUDgqQ==" spinCount="100000" sheet="1" objects="1" scenarios="1" selectLockedCells="1"/>
  <mergeCells count="6">
    <mergeCell ref="A1:I4"/>
    <mergeCell ref="D13:F13"/>
    <mergeCell ref="B6:F6"/>
    <mergeCell ref="B7:F7"/>
    <mergeCell ref="B9:G9"/>
    <mergeCell ref="D11:F11"/>
  </mergeCells>
  <conditionalFormatting sqref="B9:G9">
    <cfRule type="expression" dxfId="87" priority="5">
      <formula>OR(G6="No",G7="No")</formula>
    </cfRule>
  </conditionalFormatting>
  <conditionalFormatting sqref="D11:F11">
    <cfRule type="expression" dxfId="86" priority="4">
      <formula>AND(G6="Yes",G7="Yes")</formula>
    </cfRule>
  </conditionalFormatting>
  <conditionalFormatting sqref="G11">
    <cfRule type="expression" dxfId="85" priority="3">
      <formula>AND(G6="Yes",G7="Yes")</formula>
    </cfRule>
  </conditionalFormatting>
  <conditionalFormatting sqref="G13">
    <cfRule type="expression" dxfId="84" priority="2">
      <formula>AND(G6="yes",G7="Yes")</formula>
    </cfRule>
  </conditionalFormatting>
  <conditionalFormatting sqref="D13:F13">
    <cfRule type="expression" dxfId="83" priority="1">
      <formula>AND(G6="yes",G7="Yes")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7" r:id="rId3" name="Button 3">
              <controlPr locked="0" defaultSize="0" print="0" autoFill="0" autoPict="0" macro="[0]!Trust_Click">
                <anchor moveWithCells="1" sizeWithCells="1">
                  <from>
                    <xdr:col>7</xdr:col>
                    <xdr:colOff>266700</xdr:colOff>
                    <xdr:row>5</xdr:row>
                    <xdr:rowOff>190500</xdr:rowOff>
                  </from>
                  <to>
                    <xdr:col>8</xdr:col>
                    <xdr:colOff>466725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5B5346-0C22-4F85-A5DD-BE637170C8C9}">
          <x14:formula1>
            <xm:f>Lists!$E$11:$E$13</xm:f>
          </x14:formula1>
          <xm:sqref>G6:G7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06EB5-A050-4792-B596-EE5F2B3A53A5}">
  <sheetPr codeName="Sheet27">
    <pageSetUpPr autoPageBreaks="0"/>
  </sheetPr>
  <dimension ref="A1:XFC193"/>
  <sheetViews>
    <sheetView zoomScaleNormal="100" workbookViewId="0">
      <selection activeCell="C4" sqref="C4"/>
    </sheetView>
  </sheetViews>
  <sheetFormatPr defaultColWidth="0" defaultRowHeight="15" customHeight="1" zeroHeight="1"/>
  <cols>
    <col min="1" max="1" width="7.125" style="9" customWidth="1"/>
    <col min="2" max="2" width="57.375" style="9" customWidth="1"/>
    <col min="3" max="3" width="29.625" style="9" bestFit="1" customWidth="1"/>
    <col min="4" max="5" width="7.125" style="9" customWidth="1"/>
    <col min="6" max="6" width="5.375" style="10" customWidth="1"/>
    <col min="7" max="16383" width="16" style="10" hidden="1"/>
    <col min="16384" max="16384" width="16.625" style="10" hidden="1"/>
  </cols>
  <sheetData>
    <row r="1" spans="1:24" ht="15" customHeight="1">
      <c r="A1" s="293" t="s">
        <v>219</v>
      </c>
      <c r="B1" s="293"/>
      <c r="C1" s="293"/>
      <c r="D1" s="293"/>
      <c r="E1" s="293"/>
      <c r="F1" s="293"/>
      <c r="H1" s="11"/>
    </row>
    <row r="2" spans="1:24" ht="45.6" customHeight="1">
      <c r="A2" s="293"/>
      <c r="B2" s="293"/>
      <c r="C2" s="293"/>
      <c r="D2" s="293"/>
      <c r="E2" s="293"/>
      <c r="F2" s="293"/>
    </row>
    <row r="3" spans="1:24">
      <c r="B3" s="292"/>
      <c r="C3" s="292"/>
      <c r="F3" s="9"/>
    </row>
    <row r="4" spans="1:24">
      <c r="B4" s="89" t="s">
        <v>220</v>
      </c>
      <c r="C4" s="80"/>
      <c r="F4" s="9"/>
    </row>
    <row r="5" spans="1:24">
      <c r="B5" s="89" t="s">
        <v>221</v>
      </c>
      <c r="C5" s="80"/>
      <c r="F5" s="9"/>
      <c r="L5" s="10" t="s">
        <v>222</v>
      </c>
    </row>
    <row r="6" spans="1:24">
      <c r="B6" s="89" t="s">
        <v>223</v>
      </c>
      <c r="C6" s="81">
        <f ca="1">TODAY()</f>
        <v>45022</v>
      </c>
      <c r="F6" s="9"/>
      <c r="L6" s="10" t="str">
        <f>IF(C7="","",IF(C6="","",DATEDIF(C7,C6,"m")))</f>
        <v/>
      </c>
    </row>
    <row r="7" spans="1:24">
      <c r="B7" s="89" t="s">
        <v>224</v>
      </c>
      <c r="C7" s="82"/>
      <c r="F7" s="9"/>
    </row>
    <row r="8" spans="1:24" hidden="1">
      <c r="B8" s="89" t="s">
        <v>225</v>
      </c>
      <c r="C8" s="80" t="s">
        <v>226</v>
      </c>
      <c r="F8" s="9"/>
    </row>
    <row r="9" spans="1:24">
      <c r="B9" s="89" t="s">
        <v>227</v>
      </c>
      <c r="C9" s="80" t="s">
        <v>226</v>
      </c>
      <c r="F9" s="9"/>
      <c r="W9" s="10" t="s">
        <v>228</v>
      </c>
    </row>
    <row r="10" spans="1:24">
      <c r="B10" s="292"/>
      <c r="C10" s="292"/>
      <c r="F10" s="9"/>
    </row>
    <row r="11" spans="1:24">
      <c r="B11" s="89" t="s">
        <v>229</v>
      </c>
      <c r="C11" s="80" t="s">
        <v>226</v>
      </c>
      <c r="F11" s="9"/>
      <c r="T11" s="10" t="s">
        <v>230</v>
      </c>
      <c r="U11" s="10" t="s">
        <v>231</v>
      </c>
      <c r="W11" s="10" t="s">
        <v>230</v>
      </c>
      <c r="X11" s="10" t="s">
        <v>232</v>
      </c>
    </row>
    <row r="12" spans="1:24" ht="15.75" hidden="1" customHeight="1">
      <c r="B12" s="89" t="s">
        <v>233</v>
      </c>
      <c r="C12" s="80" t="s">
        <v>226</v>
      </c>
      <c r="F12" s="9"/>
      <c r="H12" s="12"/>
      <c r="L12" s="10" t="s">
        <v>234</v>
      </c>
      <c r="M12" s="10" t="s">
        <v>235</v>
      </c>
      <c r="N12" s="10" t="s">
        <v>236</v>
      </c>
      <c r="O12" s="10" t="s">
        <v>237</v>
      </c>
      <c r="T12" s="10">
        <v>1</v>
      </c>
      <c r="U12" s="10">
        <v>31</v>
      </c>
      <c r="W12" s="13">
        <v>1</v>
      </c>
      <c r="X12" s="14">
        <v>31</v>
      </c>
    </row>
    <row r="13" spans="1:24" ht="16.5" hidden="1" customHeight="1">
      <c r="B13" s="89" t="s">
        <v>238</v>
      </c>
      <c r="C13" s="80" t="s">
        <v>226</v>
      </c>
      <c r="F13" s="9"/>
      <c r="L13" s="10" t="str">
        <f ca="1">IF(X26=(YEAR(C6)-1),"Yes","No")</f>
        <v>No</v>
      </c>
      <c r="M13" s="10" t="str">
        <f ca="1">IF(X26=(YEAR(C6)-2),"Yes","No")</f>
        <v>No</v>
      </c>
      <c r="N13" s="10" t="str">
        <f ca="1">IF(X26=(YEAR(C6)),"Yes","No")</f>
        <v>No</v>
      </c>
      <c r="T13" s="10">
        <v>2</v>
      </c>
      <c r="U13" s="10" t="e">
        <f>IF((N24 = "Leap Year"),29,28)</f>
        <v>#VALUE!</v>
      </c>
      <c r="W13" s="13">
        <v>2</v>
      </c>
      <c r="X13" s="14">
        <f>IF((Q24 = "Leap Year"),29,28)</f>
        <v>28</v>
      </c>
    </row>
    <row r="14" spans="1:24" ht="15" hidden="1" customHeight="1">
      <c r="B14" s="20"/>
      <c r="C14" s="20"/>
      <c r="F14" s="9"/>
      <c r="M14" s="11"/>
      <c r="T14" s="10">
        <v>3</v>
      </c>
      <c r="U14" s="10">
        <v>31</v>
      </c>
      <c r="W14" s="13">
        <v>3</v>
      </c>
      <c r="X14" s="14">
        <v>31</v>
      </c>
    </row>
    <row r="15" spans="1:24" ht="15" hidden="1" customHeight="1">
      <c r="A15" s="15"/>
      <c r="B15" s="89" t="s">
        <v>239</v>
      </c>
      <c r="C15" s="80" t="s">
        <v>226</v>
      </c>
      <c r="F15" s="9"/>
      <c r="T15" s="10">
        <v>4</v>
      </c>
      <c r="U15" s="10">
        <v>30</v>
      </c>
      <c r="W15" s="13">
        <v>4</v>
      </c>
      <c r="X15" s="14">
        <v>30</v>
      </c>
    </row>
    <row r="16" spans="1:24" ht="15" hidden="1" customHeight="1">
      <c r="B16" s="20"/>
      <c r="C16" s="20"/>
      <c r="F16" s="9"/>
      <c r="T16" s="10">
        <v>5</v>
      </c>
      <c r="U16" s="10">
        <v>31</v>
      </c>
      <c r="W16" s="13">
        <v>5</v>
      </c>
      <c r="X16" s="14">
        <v>31</v>
      </c>
    </row>
    <row r="17" spans="2:24" ht="15" hidden="1" customHeight="1">
      <c r="B17" s="89" t="s">
        <v>240</v>
      </c>
      <c r="C17" s="80" t="s">
        <v>226</v>
      </c>
      <c r="F17" s="9"/>
      <c r="T17" s="10">
        <v>6</v>
      </c>
      <c r="U17" s="10">
        <v>30</v>
      </c>
      <c r="W17" s="13">
        <v>6</v>
      </c>
      <c r="X17" s="14">
        <v>30</v>
      </c>
    </row>
    <row r="18" spans="2:24" ht="15" hidden="1" customHeight="1">
      <c r="B18" s="20"/>
      <c r="C18" s="20"/>
      <c r="F18" s="9"/>
      <c r="T18" s="10">
        <v>7</v>
      </c>
      <c r="U18" s="10">
        <v>31</v>
      </c>
      <c r="W18" s="13">
        <v>7</v>
      </c>
      <c r="X18" s="14">
        <v>31</v>
      </c>
    </row>
    <row r="19" spans="2:24" ht="15" hidden="1" customHeight="1">
      <c r="B19" s="89" t="s">
        <v>241</v>
      </c>
      <c r="C19" s="80" t="s">
        <v>226</v>
      </c>
      <c r="F19" s="9"/>
      <c r="H19" s="11" t="s">
        <v>242</v>
      </c>
      <c r="L19" s="16"/>
      <c r="M19" s="16"/>
      <c r="O19" s="16"/>
      <c r="P19" s="16"/>
      <c r="T19" s="10">
        <v>8</v>
      </c>
      <c r="U19" s="10">
        <v>31</v>
      </c>
      <c r="W19" s="13">
        <v>8</v>
      </c>
      <c r="X19" s="14">
        <v>31</v>
      </c>
    </row>
    <row r="20" spans="2:24" ht="15" hidden="1" customHeight="1">
      <c r="B20" s="89" t="s">
        <v>243</v>
      </c>
      <c r="C20" s="80" t="s">
        <v>226</v>
      </c>
      <c r="F20" s="9"/>
      <c r="H20" s="10">
        <f>COUNTIF(C19:C22,"Yes")+COUNTIF(C20,"Yes, Annual")+COUNTIF(C20,"Yes, Average")+COUNTIF(C13,"Variable")</f>
        <v>0</v>
      </c>
      <c r="I20" s="11"/>
      <c r="L20" s="16"/>
      <c r="M20" s="16"/>
      <c r="O20" s="16"/>
      <c r="P20" s="16"/>
      <c r="T20" s="10">
        <v>9</v>
      </c>
      <c r="U20" s="10">
        <v>30</v>
      </c>
      <c r="W20" s="13">
        <v>9</v>
      </c>
      <c r="X20" s="14">
        <v>30</v>
      </c>
    </row>
    <row r="21" spans="2:24" ht="15" hidden="1" customHeight="1">
      <c r="B21" s="89" t="s">
        <v>244</v>
      </c>
      <c r="C21" s="80" t="s">
        <v>226</v>
      </c>
      <c r="F21" s="9"/>
      <c r="L21" s="16"/>
      <c r="M21" s="16"/>
      <c r="O21" s="16"/>
      <c r="P21" s="16"/>
      <c r="T21" s="10">
        <v>10</v>
      </c>
      <c r="U21" s="10">
        <v>31</v>
      </c>
      <c r="W21" s="13">
        <v>10</v>
      </c>
      <c r="X21" s="14">
        <v>31</v>
      </c>
    </row>
    <row r="22" spans="2:24" ht="15" hidden="1" customHeight="1">
      <c r="B22" s="89" t="s">
        <v>245</v>
      </c>
      <c r="C22" s="80" t="s">
        <v>226</v>
      </c>
      <c r="F22" s="9"/>
      <c r="L22" s="16"/>
      <c r="M22" s="16"/>
      <c r="O22" s="16"/>
      <c r="P22" s="16"/>
      <c r="T22" s="10">
        <v>11</v>
      </c>
      <c r="U22" s="10">
        <v>30</v>
      </c>
      <c r="W22" s="13">
        <v>11</v>
      </c>
      <c r="X22" s="14">
        <v>30</v>
      </c>
    </row>
    <row r="23" spans="2:24" ht="15.75" hidden="1" customHeight="1">
      <c r="B23" s="20"/>
      <c r="C23" s="20"/>
      <c r="F23" s="9"/>
      <c r="L23" s="268" t="s">
        <v>246</v>
      </c>
      <c r="M23" s="268"/>
      <c r="N23" s="10" t="s">
        <v>247</v>
      </c>
      <c r="O23" s="268"/>
      <c r="P23" s="268"/>
      <c r="T23" s="10">
        <v>12</v>
      </c>
      <c r="U23" s="10">
        <v>31</v>
      </c>
      <c r="W23" s="13">
        <v>12</v>
      </c>
      <c r="X23" s="14">
        <v>31</v>
      </c>
    </row>
    <row r="24" spans="2:24" ht="15" hidden="1" customHeight="1">
      <c r="B24" s="89" t="s">
        <v>248</v>
      </c>
      <c r="C24" s="82"/>
      <c r="F24" s="9"/>
      <c r="L24" s="10" t="s">
        <v>249</v>
      </c>
      <c r="M24" s="10" t="str">
        <f>IF(C24="","",YEAR(C24))</f>
        <v/>
      </c>
      <c r="N24" s="10" t="e">
        <f>IF(OR(MOD(M24,400)=0,AND(MOD(M24,4)=0,MOD(M24,100)&lt;&gt;0)),"Leap Year", "NOT a Leap Year")</f>
        <v>#VALUE!</v>
      </c>
      <c r="P24" s="10" t="str">
        <f>IF(C25="","",YEAR(C25))</f>
        <v/>
      </c>
    </row>
    <row r="25" spans="2:24" ht="15" hidden="1" customHeight="1">
      <c r="B25" s="17"/>
      <c r="C25" s="18"/>
      <c r="F25" s="9"/>
      <c r="L25" s="10" t="s">
        <v>250</v>
      </c>
      <c r="M25" s="10">
        <f>DAY(C24)</f>
        <v>0</v>
      </c>
      <c r="W25" s="10" t="s">
        <v>251</v>
      </c>
    </row>
    <row r="26" spans="2:24" hidden="1">
      <c r="B26" s="20"/>
      <c r="C26" s="20"/>
      <c r="F26" s="9"/>
      <c r="H26" s="19"/>
      <c r="L26" s="10" t="s">
        <v>252</v>
      </c>
      <c r="M26" s="10">
        <f>MONTH(C24)</f>
        <v>1</v>
      </c>
      <c r="W26" s="10" t="s">
        <v>253</v>
      </c>
      <c r="X26" s="10">
        <f>YEAR(C7)</f>
        <v>1900</v>
      </c>
    </row>
    <row r="27" spans="2:24" ht="14.25" hidden="1" customHeight="1">
      <c r="B27" s="89" t="s">
        <v>254</v>
      </c>
      <c r="C27" s="82" t="s">
        <v>226</v>
      </c>
      <c r="F27" s="9"/>
      <c r="L27" s="10" t="s">
        <v>255</v>
      </c>
      <c r="M27" s="10">
        <f>M26 - 1</f>
        <v>0</v>
      </c>
      <c r="W27" s="10" t="s">
        <v>256</v>
      </c>
      <c r="X27" s="10">
        <f>MONTH(C7)</f>
        <v>1</v>
      </c>
    </row>
    <row r="28" spans="2:24" ht="14.25" hidden="1" customHeight="1">
      <c r="B28" s="89" t="s">
        <v>257</v>
      </c>
      <c r="C28" s="83"/>
      <c r="F28" s="9"/>
      <c r="L28" s="10" t="s">
        <v>258</v>
      </c>
      <c r="M28" s="10">
        <f>ROUND(M25/VLOOKUP(M26,Table1[],2,FALSE),2)</f>
        <v>0</v>
      </c>
      <c r="W28" s="10" t="s">
        <v>259</v>
      </c>
      <c r="X28" s="10">
        <f>DAY(C7)</f>
        <v>0</v>
      </c>
    </row>
    <row r="29" spans="2:24" ht="15" hidden="1" customHeight="1">
      <c r="B29" s="89" t="s">
        <v>260</v>
      </c>
      <c r="C29" s="84"/>
      <c r="F29" s="9"/>
      <c r="L29" s="10" t="s">
        <v>261</v>
      </c>
      <c r="M29" s="10">
        <f>M27+M28</f>
        <v>0</v>
      </c>
      <c r="N29" s="11"/>
      <c r="Q29" s="11"/>
      <c r="W29" s="10" t="s">
        <v>262</v>
      </c>
      <c r="X29" s="10">
        <f ca="1">IF(X27="","",IF(N13="No",12-X27,M29-X27))</f>
        <v>11</v>
      </c>
    </row>
    <row r="30" spans="2:24" ht="15" hidden="1" customHeight="1">
      <c r="B30" s="20"/>
      <c r="C30" s="20"/>
      <c r="F30" s="9"/>
      <c r="W30" s="10" t="s">
        <v>263</v>
      </c>
      <c r="X30" s="10">
        <f>IF(X27="","",IF(X28="","",ROUND(VLOOKUP(X27,Table2[],2,FALSE)-X28+1,2)))</f>
        <v>32</v>
      </c>
    </row>
    <row r="31" spans="2:24" ht="17.25" hidden="1" customHeight="1">
      <c r="B31" s="20"/>
      <c r="C31" s="20"/>
      <c r="F31" s="9"/>
      <c r="H31" s="11"/>
      <c r="W31" s="10" t="s">
        <v>264</v>
      </c>
      <c r="X31" s="10">
        <f>IF(X30="","",IF(X27="","",ROUND(X30/VLOOKUP(X27,Table2[],2,FALSE),2)))</f>
        <v>1.03</v>
      </c>
    </row>
    <row r="32" spans="2:24" ht="15" hidden="1" customHeight="1">
      <c r="B32" s="20"/>
      <c r="C32" s="20"/>
      <c r="F32" s="9"/>
      <c r="H32" s="11"/>
      <c r="M32" s="10" t="s">
        <v>265</v>
      </c>
      <c r="W32" s="10" t="s">
        <v>266</v>
      </c>
      <c r="X32" s="10">
        <f ca="1">IF(X29="","",IF(X31="","",IF(X31="","",X29+X31)))</f>
        <v>12.03</v>
      </c>
    </row>
    <row r="33" spans="2:36" ht="15" hidden="1" customHeight="1">
      <c r="B33" s="288" t="s">
        <v>267</v>
      </c>
      <c r="C33" s="289"/>
      <c r="F33" s="9"/>
      <c r="G33" s="21">
        <v>0</v>
      </c>
      <c r="H33" s="11" t="s">
        <v>268</v>
      </c>
    </row>
    <row r="34" spans="2:36" ht="15" hidden="1" customHeight="1">
      <c r="B34" s="290"/>
      <c r="C34" s="291"/>
      <c r="F34" s="9"/>
      <c r="O34" s="22"/>
      <c r="U34" s="287" t="s">
        <v>269</v>
      </c>
      <c r="V34" s="287"/>
      <c r="W34" s="287"/>
      <c r="X34" s="287"/>
      <c r="Y34" s="287"/>
      <c r="AC34" s="287" t="s">
        <v>270</v>
      </c>
      <c r="AD34" s="287"/>
      <c r="AE34" s="287"/>
      <c r="AF34" s="287"/>
      <c r="AG34" s="287"/>
      <c r="AH34" s="287"/>
      <c r="AI34" s="287"/>
      <c r="AJ34" s="287"/>
    </row>
    <row r="35" spans="2:36" ht="15" hidden="1" customHeight="1">
      <c r="B35" s="290"/>
      <c r="C35" s="291"/>
      <c r="F35" s="9"/>
      <c r="L35" s="287" t="s">
        <v>271</v>
      </c>
      <c r="M35" s="287"/>
      <c r="N35" s="10" t="s">
        <v>272</v>
      </c>
      <c r="O35" s="22" t="s">
        <v>273</v>
      </c>
      <c r="S35" s="11"/>
      <c r="U35" s="10" t="s">
        <v>274</v>
      </c>
      <c r="V35" s="23" t="str">
        <f>IF(C36="","",IF(AND(C17="No",C39=""),"",IF(AND(C17="Yes",C19="Yes",C40=""),"",IF(AND(C17="Yes",C20="Yes",C41=""),"",IF(AND(C17="Yes",C21="Yes",C42=""),"",IF(AND(C17="Yes",C22="Yes",C43=""),"",IF(AND(C17="Yes",C19="Yes",C40=""),"",IF(C17="No",ROUND(C36/(C39+C36)*100,2),ROUND(C36/(C40+C36+C41+C42+C43+C39)*100,2)))))))))</f>
        <v/>
      </c>
      <c r="W35" s="11"/>
      <c r="X35" s="10" t="s">
        <v>275</v>
      </c>
      <c r="Y35" s="19">
        <f>IF(V36="",0,IF(L6&gt;=24,V36/12,IF(AND(L6&gt;=12,L6&lt;24,X26=(YEAR(C6)-1)),V36/X32,IF(AND(L6&gt;=12,L6&lt;24,X26=(YEAR(C6)-2)),V36/12,0))))</f>
        <v>0</v>
      </c>
      <c r="AC35" s="10" t="s">
        <v>276</v>
      </c>
      <c r="AD35" s="23">
        <f>IF(C40="",0,IF(C36="","",ROUND(C40/(C40+C41+C42+C43+C36+C39)*100,2)))</f>
        <v>0</v>
      </c>
      <c r="AE35" s="10" t="s">
        <v>277</v>
      </c>
      <c r="AF35" s="19" t="str">
        <f>IF(C40="","",ROUND((C40/M29)*12,2))</f>
        <v/>
      </c>
      <c r="AG35" s="10" t="s">
        <v>278</v>
      </c>
      <c r="AH35" s="19" t="str">
        <f>IF(C36="","",C40+C41+C42+C43+C36+C39)</f>
        <v/>
      </c>
      <c r="AI35" s="19"/>
    </row>
    <row r="36" spans="2:36" ht="15" hidden="1" customHeight="1">
      <c r="B36" s="89" t="s">
        <v>279</v>
      </c>
      <c r="C36" s="83"/>
      <c r="F36" s="9"/>
      <c r="L36" s="10" t="s">
        <v>280</v>
      </c>
      <c r="M36" s="24" t="str">
        <f>IF(C36 = "","",IF(M29=0,"",IF(L6&gt;=12,C36/M29,IF(AND(L6&lt;12,N13="Yes"),(C36+C65)/M29,IF(AND(L6&lt;12,N13="No"),C36/M29,"")))))</f>
        <v/>
      </c>
      <c r="N36" s="19" t="str">
        <f>IF(M36="","",M36*12)</f>
        <v/>
      </c>
      <c r="O36" s="22" t="str">
        <f>IF(M24="","",M24 - 1 &amp;" "&amp;"W-2")</f>
        <v/>
      </c>
      <c r="U36" s="10" t="s">
        <v>281</v>
      </c>
      <c r="V36" s="19">
        <f>IF(V35="",0,IF(C37="","",ROUND(C37*(V35/100),2)))</f>
        <v>0</v>
      </c>
      <c r="W36" s="11"/>
      <c r="X36" s="10" t="s">
        <v>282</v>
      </c>
      <c r="Y36" s="19">
        <f>IF(V37="",0,IF(L6&gt;=24,V37/12,IF(AND(L6&gt;=12,L6&lt;24,X26=(YEAR(C6)-2)),V37/X32,0)))</f>
        <v>0</v>
      </c>
      <c r="AC36" s="10" t="s">
        <v>283</v>
      </c>
      <c r="AD36" s="23">
        <f>IF(C41="",0,IF(C36="","",ROUND(C41/(C40+C41+C42+C43+C36+C39)*100,2)))</f>
        <v>0</v>
      </c>
      <c r="AE36" s="10" t="s">
        <v>284</v>
      </c>
      <c r="AF36" s="19" t="str">
        <f>IF(C41="","",ROUND((C41/M29)*12,2))</f>
        <v/>
      </c>
      <c r="AG36" s="10" t="s">
        <v>285</v>
      </c>
      <c r="AH36" s="19" t="str">
        <f>IF(AH35="","",ROUND((AH35/M29)*12,2))</f>
        <v/>
      </c>
    </row>
    <row r="37" spans="2:36" ht="15" hidden="1" customHeight="1">
      <c r="B37" s="89" t="str">
        <f>O36</f>
        <v/>
      </c>
      <c r="C37" s="83"/>
      <c r="F37" s="9"/>
      <c r="L37" s="10" t="s">
        <v>286</v>
      </c>
      <c r="M37" s="24">
        <f>IF(L6&gt;=24,ROUND(C37/12,2),IF(AND(L6&gt;=12,L6&lt;24,X26=(YEAR(C6)-1)),ROUND(C37/X32,2),IF(AND(L6&gt;=12,L6&lt;24,X26=(YEAR(C6))-2),ROUND(C37/12,2),IF(AND(L6&lt;12, N13="Yes"),C68/12,IF(AND(L6&lt;12,N13="No"),(C68+C37)/12,"")))))</f>
        <v>0</v>
      </c>
      <c r="O37" s="22" t="str">
        <f>IF(M24="","",M24 - 2 &amp;" "&amp;"W-2")</f>
        <v/>
      </c>
      <c r="U37" s="10" t="s">
        <v>287</v>
      </c>
      <c r="V37" s="19">
        <f>IF(C38="",0,ROUND(C38*(V35/100),2))</f>
        <v>0</v>
      </c>
      <c r="AC37" s="10" t="s">
        <v>288</v>
      </c>
      <c r="AD37" s="23">
        <f>IF(C42="",0,IF(C36="","",ROUND(C42/(C40+C41+C42+C43+C36+C39)*100,2)))</f>
        <v>0</v>
      </c>
      <c r="AE37" s="10" t="s">
        <v>289</v>
      </c>
      <c r="AF37" s="19" t="str">
        <f>IF(C42="","",ROUND((C42/M29)*12,2))</f>
        <v/>
      </c>
    </row>
    <row r="38" spans="2:36" ht="15" hidden="1" customHeight="1">
      <c r="B38" s="89" t="str">
        <f>O37</f>
        <v/>
      </c>
      <c r="C38" s="83"/>
      <c r="F38" s="9"/>
      <c r="L38" s="10" t="s">
        <v>290</v>
      </c>
      <c r="M38" s="24">
        <f>IF(L6&gt;=24,ROUND(C38/12,2),IF(AND(L6&gt;=12,L6&lt;24,X26=(YEAR(C6))-2),ROUND(C38/X32,2),IF(L6&lt;12,C69/12,0)))</f>
        <v>0</v>
      </c>
      <c r="N38" s="10" t="s">
        <v>291</v>
      </c>
      <c r="O38" s="24">
        <f>IF(L6&gt;=24,(C37+C38)/2,IF(AND(L6&gt;=12,L6&lt;24,X26=(YEAR(C6)-1)),(C38+O40)/2,IF(AND(L6&gt;=12,L6&lt;24,X26=(YEAR(C6)-2)),(C37+O41)/2,"")))</f>
        <v>0</v>
      </c>
      <c r="P38" s="11"/>
      <c r="U38" s="10" t="s">
        <v>292</v>
      </c>
      <c r="V38" s="19" t="str">
        <f>IF(C36 = "","",IF(M29=0,"",IF(L6&gt;=12,ROUND(C36/M29,2),IF(AND(L6&lt;12,N13="Yes"),(C36+C65)/M29,IF(AND(L6&lt;12,N13="No"),C36/M29,"")))))</f>
        <v/>
      </c>
      <c r="W38" s="11"/>
      <c r="X38" s="10" t="s">
        <v>291</v>
      </c>
      <c r="Y38" s="19">
        <f>IF(V36="","",IF(V37="","",IF(L6&gt;=24,(V36+V37)/2,IF(AND(L6&gt;=12,L6&lt;24,X26=(YEAR(C6)-1)),(((V36/X32)*12)+V37)/2,IF(AND(L6&gt;=12,L6&lt;24,M13="Yes"),(((V37/X32)*12)+V36)/2,"Not accounted for")))))</f>
        <v>0</v>
      </c>
      <c r="AC38" s="10" t="s">
        <v>293</v>
      </c>
      <c r="AD38" s="23">
        <f>IF(C43="",0,ROUND(C43/(C40+C41+C42+C43+C36+C39)*100,2))</f>
        <v>0</v>
      </c>
      <c r="AE38" s="10" t="s">
        <v>294</v>
      </c>
      <c r="AF38" s="19" t="str">
        <f>IF(C43="","",ROUND((C43/M29)*12,2))</f>
        <v/>
      </c>
      <c r="AG38" s="10" t="s">
        <v>295</v>
      </c>
    </row>
    <row r="39" spans="2:36" ht="14.25" hidden="1" customHeight="1">
      <c r="B39" s="89" t="s">
        <v>296</v>
      </c>
      <c r="C39" s="83"/>
      <c r="F39" s="9"/>
      <c r="L39" s="10" t="s">
        <v>297</v>
      </c>
      <c r="M39" s="22" t="str">
        <f ca="1">IF(AND(L6&lt;12,N13="Yes",C66=""),"",IF(AND(L6&gt;=12,M36=""),"",IF(AND(L6&gt;=12,M37=0),"",ABS(ROUND(((M36/M37)-1)*100,2)))))</f>
        <v/>
      </c>
      <c r="N39" s="10" t="s">
        <v>298</v>
      </c>
      <c r="O39" s="24" t="str">
        <f>IF(C36 = "","",IF(M29=0,"",IF(L6&gt;=12,ROUND((C36/M29)*12,2),IF(AND(L6&lt;12,N13="Yes"),ROUND(((C36+C65)/M29)*12,2),IF(AND(L6&lt;12,N13="No"),ROUND((C36/M29)*12,2),"")))))</f>
        <v/>
      </c>
      <c r="T39" s="11"/>
      <c r="U39" s="10" t="s">
        <v>299</v>
      </c>
      <c r="V39" s="19" t="str">
        <f>IF(AND(L6&lt;12,C36=""),"",IF(AND(L6&gt;=12, C36=""),"",IF(AND(L6&gt;=12, C37=""),"",IF( C13 = "Salary","Base is salary",IF(AND(L6&gt;=24,V44="Increasing"),ROUND((C36+V36)/(12+M29),2),IF(AND(L6&gt;=24,V44="Increasing"),ROUND((C36+V36)/(12+M29),2),IF(AND( M13 = "No",L6&gt;=24,V44="Decreasing but stable",Y44="Yes",Y47&gt;Y46), ROUND((C36+V36+V37)/(24+M29),2),IF(AND( M13 = "No",L6&gt;=24,V44="Decreasing but stable",Y44="Yes",Y47&lt;Y46), ROUND((C36+V36)/(12+M29),2),IF(AND( M13 = "No",L6&gt;=24,V44="Decreasing but stable",Y44="No"), ROUND((C36+V36)/(12+M29),2),IF(AND( M13 = "Yes",L6&gt;=24,V44="Decreasing but stable",Y44="Yes",Y47&gt;Y46), ROUND((C36+V36+V37)/(12+M29+X32),2),IF(AND( M13 = "Yes",L6&gt;=24,V44="Decreasing but stable",Y44="Yes",Y47&lt;Y46), ROUND((C36+V36)/(12+M29),2),IF(AND( M13 = "Yes",L6&gt;=24,V44="Decreasing but stable",Y44="No"), ROUND((C36+V36)/(12+M29),2),IF(AND( L6&gt;=24,V44="Decreasing"),ROUND(V38,2),IF(AND(L6&lt;24,L6&gt;=12,V44="decreasing but stable",M13="Yes",Y46&lt;=Y47,Y44="Yes"),ROUND((C36+V36+V37)/(12+X32+M29),2),IF(AND(L6&lt;24,L6&gt;=12,V44="decreasing but stable",M13="Yes",Y46&gt;Y47,Y44="Yes"),(C36+V36)/(M29+12),IF(AND(L6&lt;24,L6&gt;=12,V44="decreasing but stable",M13="Yes",Y44="No"),(C36+V36)/(M29+12),IF(AND(L6&lt;24,L6&gt;=12,V44="Increasing",L13="Yes"),(C36+V36)/(M29+X32),IF(AND(L6&lt;24,L6&gt;=12,V44="Increasing",M13="Yes"),(C36+V36)/(M29+12),IF(AND(L6&lt;24,L6&gt;=12,V44="Decreasing"),ROUND(V38,2),"")))))))))))))))))))</f>
        <v/>
      </c>
      <c r="X39" s="10" t="s">
        <v>300</v>
      </c>
      <c r="Y39" s="19" t="str">
        <f>IF(C36 = "","",IF(M29=0,"",IF(L6&gt;=12,ROUND(((C36+C39+C40+C41+C42+C43)/M29)*12,2),IF(AND(L6&lt;12,N13="Yes"),ROUND(((C36+C39+C40+C41+C42+C43+C65+C70+C73+C76)/M29)*12,2),IF(AND(L6&lt;12,N13="No"),ROUND(((C36+C39+C40+C41+C42+C43)/M29)*12,2),"")))))</f>
        <v/>
      </c>
      <c r="AC39" s="10" t="s">
        <v>301</v>
      </c>
      <c r="AD39" s="10" t="e">
        <f>ROUND(C39/(C40+C41+C42+C43+C36+C39)*100,2)</f>
        <v>#DIV/0!</v>
      </c>
      <c r="AE39" s="10" t="s">
        <v>302</v>
      </c>
      <c r="AF39" s="10" t="str">
        <f>IF(C39="","",ROUND((C39/M29)*12,2))</f>
        <v/>
      </c>
    </row>
    <row r="40" spans="2:36" ht="14.25" hidden="1" customHeight="1">
      <c r="B40" s="89" t="s">
        <v>303</v>
      </c>
      <c r="C40" s="83"/>
      <c r="F40" s="9"/>
      <c r="L40" s="11"/>
      <c r="M40" s="22"/>
      <c r="N40" s="10" t="s">
        <v>304</v>
      </c>
      <c r="O40" s="24">
        <f ca="1">IF(AND(L6&gt;=12,L6&lt;24,X26=(YEAR(C6)-1)),(C37/X32)*12,0)</f>
        <v>0</v>
      </c>
      <c r="U40" s="10" t="s">
        <v>297</v>
      </c>
      <c r="V40" s="10" t="str">
        <f>IF(C15="No","",IF(V38="","",IF(Y35="","",ABS(ROUND(((V38/Y35)-1)*100,2)))))</f>
        <v/>
      </c>
      <c r="AC40" s="10" t="s">
        <v>305</v>
      </c>
      <c r="AD40" s="19">
        <f>ROUND(C37*(AD35/100),2)</f>
        <v>0</v>
      </c>
      <c r="AE40" s="10" t="s">
        <v>306</v>
      </c>
      <c r="AF40" s="19">
        <f>C38*(AD35/100)</f>
        <v>0</v>
      </c>
      <c r="AG40" s="10" t="s">
        <v>307</v>
      </c>
      <c r="AH40" s="19">
        <f ca="1">IF(AND(L6&gt;=12,L6&lt;24,X26=(YEAR(C6)-1)),(AD40/X32)*12,0)</f>
        <v>0</v>
      </c>
      <c r="AI40" s="10" t="s">
        <v>308</v>
      </c>
      <c r="AJ40" s="19" t="str">
        <f ca="1">IF(AND(L6&gt;=12,L6&lt;24,X26=(YEAR(C6)-2)),ROUND((AF40/X32)*12,2),"")</f>
        <v/>
      </c>
    </row>
    <row r="41" spans="2:36" ht="14.25" hidden="1" customHeight="1">
      <c r="B41" s="89" t="s">
        <v>309</v>
      </c>
      <c r="C41" s="83"/>
      <c r="F41" s="9"/>
      <c r="M41" s="22"/>
      <c r="N41" s="10" t="s">
        <v>310</v>
      </c>
      <c r="O41" s="24">
        <f ca="1">IF(AND(L6&gt;=12,L6&lt;24,X26=(YEAR(C6)-2)),(C38/X32)*12,0)</f>
        <v>0</v>
      </c>
      <c r="U41" s="11" t="s">
        <v>311</v>
      </c>
      <c r="V41" s="25" t="str">
        <f>IF(Y39="","",IF(AND(L6&gt;=12,V47=""),"",IF(L6&gt;=24,ROUND((Y39-V47)/V47*100,2),IF(AND(L6&gt;=12,L6&lt;24,X26=(YEAR(C6)-1)),ROUND((Y39-((V47/X32)*12))/((V47/X32)*12)*100,2),IF(AND(L6&gt;=12,L6&lt;24,X26=(YEAR(C6))-2),ROUND((Y39-V47)/V47*100,2),"")))))</f>
        <v/>
      </c>
      <c r="AC41" s="10" t="s">
        <v>312</v>
      </c>
      <c r="AD41" s="19">
        <f>ROUND(C37*(AD36/100),2)</f>
        <v>0</v>
      </c>
      <c r="AE41" s="10" t="s">
        <v>313</v>
      </c>
      <c r="AF41" s="19">
        <f>C38*(AD36/100)</f>
        <v>0</v>
      </c>
      <c r="AG41" s="10" t="s">
        <v>314</v>
      </c>
      <c r="AH41" s="19" t="str">
        <f ca="1">IF(AND(L6&gt;=12,L6&lt;24,X26=(YEAR(C6)-1),C20 = "Yes, Average"),(AD41/X32)*12,IF(AND(L6&gt;=12,L6&lt;24,X26=(YEAR(C6)-1),C20 = "Yes, Annual"),AD41,""))</f>
        <v/>
      </c>
      <c r="AI41" s="10" t="s">
        <v>315</v>
      </c>
      <c r="AJ41" s="19" t="str">
        <f ca="1">IF(AND(L6&gt;=12,L6&lt;24,X26=(YEAR(C6)-2),C20 = "Yes,Average"),ROUND((AF41/X32)*12,2),IF(AND(L6&gt;=12,L6&lt;24,X26=(YEAR(C6)-2),C20 = "Yes, Annual"),AF41,""))</f>
        <v/>
      </c>
    </row>
    <row r="42" spans="2:36" ht="15.75" hidden="1" customHeight="1">
      <c r="B42" s="89" t="s">
        <v>316</v>
      </c>
      <c r="C42" s="83"/>
      <c r="F42" s="9"/>
      <c r="H42" s="11"/>
      <c r="M42" s="22"/>
      <c r="O42" s="22"/>
      <c r="V42" s="19"/>
      <c r="AC42" s="10" t="s">
        <v>317</v>
      </c>
      <c r="AD42" s="19">
        <f>IF(C37="",0,ROUND(C37*(AD37/100),2))</f>
        <v>0</v>
      </c>
      <c r="AE42" s="10" t="s">
        <v>318</v>
      </c>
      <c r="AF42" s="19" t="str">
        <f>IF(C38="","",ROUND(C38*(AD37/100),2))</f>
        <v/>
      </c>
      <c r="AG42" s="10" t="s">
        <v>319</v>
      </c>
      <c r="AH42" s="19">
        <f ca="1">IF(AND(L6&gt;=12,L6&lt;24,X26=(YEAR(C6)-1)),(AD42/X32)*12,0)</f>
        <v>0</v>
      </c>
      <c r="AI42" s="10" t="s">
        <v>320</v>
      </c>
      <c r="AJ42" s="19" t="str">
        <f ca="1">IF(AND(L6&gt;=12,L6&lt;24,X26=(YEAR(C6)-2)),ROUND((AF42/X32)*12,2),"")</f>
        <v/>
      </c>
    </row>
    <row r="43" spans="2:36" ht="14.25" hidden="1" customHeight="1">
      <c r="B43" s="89" t="s">
        <v>321</v>
      </c>
      <c r="C43" s="85"/>
      <c r="F43" s="9"/>
      <c r="M43" s="22"/>
      <c r="O43" s="22"/>
      <c r="V43" s="19"/>
      <c r="AC43" s="10" t="s">
        <v>322</v>
      </c>
      <c r="AD43" s="19">
        <f>ROUND(C37*(AD38/100),2)</f>
        <v>0</v>
      </c>
      <c r="AE43" s="10" t="s">
        <v>323</v>
      </c>
      <c r="AF43" s="19">
        <f>ROUND(C38*(AD38/100),2)</f>
        <v>0</v>
      </c>
      <c r="AG43" s="10" t="s">
        <v>324</v>
      </c>
      <c r="AH43" s="19" t="str">
        <f ca="1">IF(AND(L6&gt;=12,L6&lt;24,X26=(YEAR(C6)-1)),(AD43/X32)*12,"")</f>
        <v/>
      </c>
      <c r="AI43" s="10" t="s">
        <v>325</v>
      </c>
      <c r="AJ43" s="19" t="str">
        <f ca="1">IF(AND(L6&gt;=12,L6&lt;24,X26=(YEAR(C6)-2)),ROUND((AF43/X32)*12,2),"")</f>
        <v/>
      </c>
    </row>
    <row r="44" spans="2:36" ht="14.25" hidden="1" customHeight="1">
      <c r="B44" s="90" t="s">
        <v>326</v>
      </c>
      <c r="C44" s="98" t="str">
        <f ca="1">IF(AND(L6&lt;12,C36=""),"",IF(AND(L6&lt;12,N13="Yes",C65=""),"",IF(AND(L6&lt;12,C68=""),"",IF(AND(L6&lt;12,C68=""),"",IF(AND(C9 = "LPA ",L6 &lt; 12, C15 = "No", M39&gt;10,M37 &gt; M36),Q48,IF(AND(C9 = "LPA ",L6 &lt; 12, C15 = "No", M39&gt;10,M37 &lt; M36, C45 = "Yes", N13 = "Yes"),(C36 + C65 + C68) / (M29 + 12),IF(AND(C9 = "LPA ",L6 &lt; 12, C15 = "No", M39&gt;10,M37 &lt; M36, C45 = "Yes", N13 = "No"), (C36 + C37 + C68) / (M29 + 12),IF(AND(C9 = "LPA ",L6 &lt; 12, C15 = "No", M39&gt;10,M37 &lt; M36,C45 = "No"),M37,IF(AND(C9 = "LPA ",L6 &lt; 12, C15 = "No", M39&gt;10,M37 &lt; M36,C45 = "Select One:"),M37,IF(AND(L6&gt;=12,C9="LPA ",M39&gt;10,C45 = "No",C15="No",O45 &lt;&gt; "Decreasing"),M37,IF(AND(L6&gt;=12,C9="LPA ",M39&gt;10,C45 = "No",C15="No",O45 = "Decreasing"),M36,IF(AND(L6&gt;=12,C9="LPA ",M39&gt;10,C45 = "Select One:",C15="No",O45 &lt;&gt; "Decreasing"),M37,IF(AND(L6&gt;=12,C9="LPA ",M39&gt;10,C45 = "Select One:",C15="No",O45 = "Decreasing"),M36,IF(AND(L6&gt;=12,C9="LPA ",M39&gt;10,C45 = "Yes",C15="No",O45 &lt;&gt; "Decreasing"),O47,IF(AND(L6&gt;=12,C9="LPA ",M39&gt;10,C45 = "Yes",C15="No",O45 = "Decreasing"),M36,IF(AND(C9="LPA ",V40&gt;10,C45 = "No",C15="Yes",V44 &lt;&gt; "Decreasing"),Y35,IF(AND(C9="LPA ",V40&gt;10,C45 = "No",C15="Yes",V44 = "Decreasing"),V38,IF(AND(C9="LPA ",V40&gt;10,C45 = "Select One:",C15="Yes",V44 &lt;&gt; "Decreasing"),Y35,IF(AND(C9="LPA ",V40&gt;10,C45 = "Select One:",C15="Yes",V44 = "Decreasing"),V38,IF(AND(C9="LPA ",V40&gt;10,C45 = "Yes",C15="Yes",V44 &lt;&gt; "Decreasing"),Y46,IF(AND(C9="LPA ",V40&gt;10,C45 = "Yes",C15="Yes",V44 = "Decreasing"),V38,IF(AND(L6&gt;=12,C15="No"),M44,IF(AND(L6&gt;=12,C15="Yes"),V39,IF(L6&lt;12,M44,""))))))))))))))))))))))))</f>
        <v/>
      </c>
      <c r="D44" s="26"/>
      <c r="F44" s="9"/>
      <c r="L44" s="10" t="s">
        <v>327</v>
      </c>
      <c r="M44" s="24" t="str">
        <f>IF(AND(L6&lt;12,C36=""),"",IF(AND(L6&gt;=12, C36=""),"",IF(AND(L6&gt;=12, C37=""),"",IF( C13 = "Salary","Base is salary",IF(AND(L6&gt;=24,O45="Increasing"),ROUND((C36+C37)/(12+M29),2),IF(AND(L6&gt;=24,O45="Increasing"),ROUND((C36+C37)/(12+M29),2),IF(AND( M13 = "No",L6&gt;=24,O45="Decreasing but stable",O44="Yes",O48&gt;O47,O44="Yes"), ROUND((C36+C37+C38)/(24+M29),2),IF(AND( M13 = "No",L6&gt;=24,O45="Decreasing but stable",O44="Yes",O48&lt;O47), ROUND((C36+C37)/(12+M29),2),IF(AND( M13 = "No",L6&gt;=24,O45="Decreasing but stable",O44="No"), ROUND((C36+C37)/(12+M29),2),IF(AND( M13 = "Yes",L6&gt;=24,O45="Decreasing but stable",O44="Yes",O48&gt;O47), ROUND((C36+C37+C38)/(12+M29+X32),2),IF(AND( M13 = "Yes",L6&gt;=24,O45="Decreasing but stable",O44="Yes",O48&lt;O47), ROUND((C36+C37)/(12+M29),2),IF(AND( M13 = "Yes",L6&gt;=24,O45="Decreasing but stable",O44="No"), ROUND((C36+C37)/(12+M29),2),IF(AND( L6&gt;=24,O45="Decreasing"),ROUND(M36,2),IF(AND(L6&lt;24,L6&gt;=12,O45="decreasing but stable",M13="Yes",O47&lt;=O48,O44="Yes"),ROUND((C36+C37+C38)/(12+X32+M29),2),IF(AND(L6&lt;24,L6&gt;=12,O45="decreasing but stable",M13="Yes",O47&gt;O48,O44="Yes"),(C36+C37)/(M29+12),IF(AND(L6&lt;24,L6&gt;=12,O45="decreasing but stable",M13="Yes",O44="No"),(C36+C37)/(M29+12),IF(AND(L6&lt;24,L6&gt;=12,O45="Increasing",L13="Yes"),(C36+C37)/(M29+X32),IF(AND(L6&lt;24,L6&gt;=12,O45="Increasing",M13="Yes"),(C36+C37)/(M29+12),IF(AND(L6&lt;24,L6&gt;=12,O45="Decreasing"),ROUND(M36,2),IF(AND(L6&lt;12,M49&gt;=O49,Q48&gt;=M48,N13="Yes"),Q48,IF(AND(L6&lt;12,M49&gt;=O49,Q48&gt;=M48,N13="No"),(C36+C37)/(M29+X32),IF(AND(L6&lt;12,M49&gt;=O49,Q48&lt;M48),Q48,IF(AND(M49&lt;O49,M36&gt;=M37, N13="Yes"),(C36+C68+C65)/(M29+12),IF(AND(L6&lt;12,M49&lt;O49,M36&gt;=M37, N13="No"),(C36+C68+C37)/(M29+12),IF(AND(L6&lt;12,M49&lt;O49,M36&lt;M37),(C65+C36)/M29,"")))))))))))))))))))))))))</f>
        <v/>
      </c>
      <c r="N44" s="27" t="s">
        <v>328</v>
      </c>
      <c r="O44" s="22" t="str">
        <f>IF(O39="","",IF(O38="","",IF(O39&gt;=O38,"Yes","No")))</f>
        <v/>
      </c>
      <c r="U44" s="10" t="s">
        <v>329</v>
      </c>
      <c r="V44" s="10" t="str">
        <f>IF(V35="","",IF(AND(L6&gt;=12, C36=""),"",IF(AND(L6&gt;=12, C37=""),"",IF(C13 = "Salary","",IF(AND(C11="Paystub and W-2(s)",Y36&gt;=Y35,Y35&lt;=V38),"Decreasing but stable",IF(AND(C11="Paystub and W-2(s)",Y35&lt;=V38),"Increasing",IF(AND(C11="Paystub and W-2(s)",Y35&gt;=V38),"Decreasing",IF(AND(C11="Paystub and W-2(s)",Y36&lt;Y35,Y35&lt;V38),"Increasing",IF(AND(C11="Paystub and W-2(s)",Y36&gt;Y35,Y35&gt;V38),"Decreasing",IF(AND(C11="Paystub and W-2(s)",Y36&lt;Y35,Y35&gt;V38),"Decreasing",""))))))))))</f>
        <v/>
      </c>
      <c r="X44" s="10" t="s">
        <v>328</v>
      </c>
      <c r="Y44" s="10" t="str">
        <f>IF(Y39="","",IF(Y38="","",IF(Y39&gt;=Y38,"Yes","No")))</f>
        <v/>
      </c>
      <c r="AC44" s="10" t="s">
        <v>330</v>
      </c>
      <c r="AD44" s="19">
        <f>IF(C37="",0,ROUND(C37*(AD39/100),2))</f>
        <v>0</v>
      </c>
      <c r="AE44" s="10" t="s">
        <v>331</v>
      </c>
      <c r="AF44" s="10" t="str">
        <f>IF(C38="","",ROUND(C38*(AD38/100),2))</f>
        <v/>
      </c>
      <c r="AG44" s="10" t="s">
        <v>332</v>
      </c>
      <c r="AH44" s="10" t="str">
        <f ca="1">IF(AND(L6&gt;=12,L6&lt;24,X26=(YEAR(C6)-1)),(AD44/X32)*12,"")</f>
        <v/>
      </c>
      <c r="AI44" s="10" t="s">
        <v>333</v>
      </c>
      <c r="AJ44" s="10" t="str">
        <f ca="1">IF(AND(L6&gt;=12,L6&lt;24,X26=(YEAR(C6)-2)),ROUND((AF44/X32)*12,2),"")</f>
        <v/>
      </c>
    </row>
    <row r="45" spans="2:36" ht="15" hidden="1" customHeight="1">
      <c r="B45" s="86" t="s">
        <v>334</v>
      </c>
      <c r="C45" s="91" t="s">
        <v>226</v>
      </c>
      <c r="F45" s="9"/>
      <c r="H45" s="11"/>
      <c r="M45" s="22"/>
      <c r="N45" s="10" t="s">
        <v>335</v>
      </c>
      <c r="O45" s="22" t="str">
        <f>IF(AND(L6&gt;=12, C36=""),"",IF(AND(L6&gt;=12, C37=""),"",IF(C13 = "Salary","",IF(AND(C11="Paystub and W-2(s)",M38&gt;=M37,M37&lt;=M36),"Decreasing but stable",IF(AND(C11="Paystub and W-2(s)",M37&lt;=M36),"Increasing",IF(AND(C11="Paystub and W-2(s)",M37&gt;=M36),"Decreasing",IF(AND(C11="Paystub and W-2(s)",M38&lt;M37,M37&lt;M36),"Increasing",IF(AND(C11="Paystub and W-2(s)",M38&gt;M37,M37&gt;M36),"Decreasing",IF(AND(C11="Paystub and W-2(s)",M38&lt;M37,M37&gt;M36),"Decreasing","")))))))))</f>
        <v/>
      </c>
      <c r="AG45" s="10" t="s">
        <v>336</v>
      </c>
      <c r="AH45" s="19" t="str">
        <f ca="1">IF(AND(L6&gt;=12,L6&lt;24,X26=(YEAR(C6)-1)),(C37/X32)*12,"")</f>
        <v/>
      </c>
    </row>
    <row r="46" spans="2:36" ht="15" hidden="1" customHeight="1">
      <c r="B46" s="269" t="str">
        <f>IF(AND(C11="Paystub and W-2(s)",C13="Salary",AC49="No"),"Cannot back into the W-2's. See summary page for more details",IF(O46="","Okay to Proceed, See Summary tab for full breakdown",IF(AND(C11="Paystub and W-2(s)",C15="No",O46&lt;-50),"The YTD has decreased" &amp; " "&amp;ROUND(ABS(O46),2)&amp;"%"&amp;" " &amp;"from last year's W-2 average. Condition for docuemntation to explain this decline.",IF(AND(C11="Paystub and W-2(s)",C15="No",O46&gt;50),"The YTD has increased"&amp;" "&amp;ROUND(O46,2)&amp;"%"&amp;" "&amp;"over last year's w-2 average. Verify that the increase in income is documented and supported",IF(AND(L6&gt;12,L6&lt;24,H20&gt;2,AD46="Decreasing"),"Condition for WVOE in order to use 2+ additional variable income types",IF(AND(C11="Paystub and W-2(s)",C15="Yes",V41=""),"Okay to Proceed, See Summary tab for full breakdown",IF(AND(C11="Paystub and W-2(s)",C15="Yes",V41&lt;-50),"The YTD has decreased" &amp; " "&amp;ROUND(ABS(V41),2)&amp;"%"&amp;" " &amp;"from last year's W-2 average. Condition for docuemntation to explain this decline.",IF(AND(C11="Paystub and W-2(s)",C15="Yes",V41&gt;50),"The YTD has increased"&amp;" "&amp;ROUND(V41,2)&amp;"%"&amp;" "&amp;"over last year's w-2 average. Verify that the increase in income is documented and supported","Okay to Proceed, See Summary tab for full breakdown"))))))))</f>
        <v>Okay to Proceed, See Summary tab for full breakdown</v>
      </c>
      <c r="C46" s="270"/>
      <c r="F46" s="9"/>
      <c r="L46" s="11"/>
      <c r="M46" s="24"/>
      <c r="N46" s="10" t="s">
        <v>337</v>
      </c>
      <c r="O46" s="22" t="str">
        <f>IF(N36="","",IF(C13="Salary","",IF(AND(L6&gt;=12,C37=""),"",IF(L6&gt;=24,ROUND((N36-C37)/C37*100,2),IF(AND(L6&gt;=12,L6&lt;24,X26=(YEAR(C6)-1)),ROUND((N36-((C37/X32)*12))/((C37/X32)*12)*100,2),IF(AND(L6&gt;=12,L6&lt;24,X26=(YEAR(C6))-2),ROUND((N36-C37)/C37*100,2),IF(AND(L6&lt;12,N13="No"),ROUND((N36-((C37/X32)*12))/((C37/X32)*12)*100,2),IF(AND(L6&lt;12,N13="Yes"),ROUND(((N36-C68)/C68)*100,2),""))))))))</f>
        <v/>
      </c>
      <c r="R46" s="11" t="s">
        <v>338</v>
      </c>
      <c r="U46" s="10" t="s">
        <v>339</v>
      </c>
      <c r="V46" s="23" t="str">
        <f>IF(Y39="","",IF(V47="","",IF(V48="","",(Y39-((V47+V48)/2))/Y39*100)))</f>
        <v/>
      </c>
      <c r="W46" s="11"/>
      <c r="X46" s="10" t="s">
        <v>340</v>
      </c>
      <c r="Y46" s="19">
        <f>IF(L6&gt;=24,(C36+V36)/(M29+12),IF(AND(L6&gt;=12,L6&lt;24,X26=(YEAR(C6)-1)),(C36+V36)/(M29+X32),IF(AND(L6&gt;=12,L6&lt;24,X26=(YEAR(C6)-2)),(C36+V36)/(M29+12),"Not accounted for")))</f>
        <v>0</v>
      </c>
      <c r="AC46" s="10" t="s">
        <v>341</v>
      </c>
      <c r="AD46" s="10" t="str">
        <f ca="1">IF(AND(C11="Paystub and W-2(s)",L6&gt;=24,AH36&gt;C37,C37&gt;C38,H20&gt;1),"Increasing",IF(AND(L6&gt;=24,AH36&lt;C37,H20&gt;1),"Decreasing",IF(AND(L6&gt;=24,AH36&gt;C37,C37&lt;C38),"Increasing",IF(AND(L6&gt;=12,L6&lt;24,X26=(YEAR(C6)-1),AH36&gt;AH45),"Increasing",IF(AND(L6&gt;=12,L6&lt;24,X26=(YEAR(C6)-1),AH36&lt;AH45),"Decreasing",IF(AND(L6&gt;=12,L6&lt;24,X26=(YEAR(C6)-2),AH36&gt;C37,C37&gt;AH46),"Increasing",IF(AND(L6&gt;=12,L6&lt;24,X26=(YEAR(C6)-2),AH36&gt;C37,C37&lt;AH46),"Increasing",IF(AND(L6&gt;=12,L6&lt;24,X26=(YEAR(C6)-2),AH36&lt;C37,C37&lt;AH46),"Decreasing",IF(AND(L6&gt;=12,L6&lt;24,X26=(YEAR(C6)-2),AH36&lt;C37,C37&gt;AH46),"Decreasing","Not needed")))))))))</f>
        <v>Not needed</v>
      </c>
      <c r="AG46" s="10" t="s">
        <v>342</v>
      </c>
      <c r="AH46" s="19" t="str">
        <f ca="1">IF(AND(L6&gt;=12,L6&lt;24,X26=(YEAR(C6)-2)),ROUND((C38/X32)*12,2),"")</f>
        <v/>
      </c>
    </row>
    <row r="47" spans="2:36" ht="27" hidden="1" customHeight="1">
      <c r="B47" s="271"/>
      <c r="C47" s="272"/>
      <c r="F47" s="9"/>
      <c r="L47" s="11"/>
      <c r="M47" s="24"/>
      <c r="N47" s="23" t="s">
        <v>343</v>
      </c>
      <c r="O47" s="24" t="str">
        <f>IF(C36="","",IF(L6&gt;=24,(C36+V36)/(M29+12),IF(AND(L6&gt;=12,L6&lt;24,L13="Yes"),(C36+V36)/(M29+X32),IF(AND(L6&gt;=12,L6&lt;24,M13="Yes"),(C36+V36)/(M29+12),0))))</f>
        <v/>
      </c>
      <c r="P47" s="10" t="s">
        <v>344</v>
      </c>
      <c r="Q47" s="10" t="str">
        <f ca="1">IF(M49 = "Not accounted for","",IF(O49="Not accounted for","",IF(AND(M49&gt;=O49,M48&gt;=M36),"Current Employer only: Decreasing",IF(AND(M49&gt;=O49,M48&lt;M36),"Current Employer Only: Increasing",IF(AND(M49&lt;O49, M37&lt;M36),"Combined: Increasing",IF(AND(M49&lt;O49,M37&gt;=M36),"Combined: Decreasing","Not accounted for"))))))</f>
        <v/>
      </c>
      <c r="R47" s="11"/>
      <c r="U47" s="10" t="s">
        <v>345</v>
      </c>
      <c r="V47" s="19" t="str">
        <f>IF(C37="","",C37+C66)</f>
        <v/>
      </c>
      <c r="W47" s="11"/>
      <c r="X47" s="10" t="s">
        <v>346</v>
      </c>
      <c r="Y47" s="19">
        <f>IF(L6&gt;=24,(C36+V36+V37)/(M29+24),IF(AND(L6&gt;=12,L6&lt;24,X26=(YEAR(C6)-1)),(C36+V36+V37)/(M29+12+X32),IF(AND(L6&gt;=12,L6&lt;24,X26=(YEAR(C6)-2)),(C36+V36+V37)/(M29+12+X32),"Not accounted for")))</f>
        <v>0</v>
      </c>
      <c r="AG47" s="11" t="s">
        <v>347</v>
      </c>
    </row>
    <row r="48" spans="2:36" ht="14.25" hidden="1" customHeight="1">
      <c r="B48" s="20"/>
      <c r="C48" s="20"/>
      <c r="F48" s="9"/>
      <c r="L48" s="10" t="s">
        <v>348</v>
      </c>
      <c r="M48" s="24">
        <f ca="1">IF(AND(L6&lt;12,N13="No"),C37/X32,C37/12)</f>
        <v>0</v>
      </c>
      <c r="N48" s="10" t="s">
        <v>346</v>
      </c>
      <c r="O48" s="24" t="str">
        <f>IF(AND(L6&gt;=12,C38=""),"",IF(AND(L6&gt;=24,M13="No"),(C36+V36+V37)/(M29+24),IF(AND(L6&gt;=24,M13="Yes"),ROUND((C36+C37+C38)/(12+M29+X32),2),IF(AND(L6&gt;=12,L6&lt;24,X26=(YEAR(C6)-1),C15="Yes"),(C36+V36+V37)/(M29+12+X32),IF(AND(L6&gt;=12,L6&lt;24,X26=(YEAR(C6)-2)),(C36+V36+V37)/(M29+12+X32),0)))))</f>
        <v/>
      </c>
      <c r="P48" s="28" t="s">
        <v>349</v>
      </c>
      <c r="Q48" s="19" t="str">
        <f>IF(C36="","",IF(AND(L6&lt;12,N13="Yes"),C36/X32,IF(AND(L6&lt;12,N13="No"),C36/M29)))</f>
        <v/>
      </c>
      <c r="U48" s="10" t="s">
        <v>350</v>
      </c>
      <c r="V48" s="19">
        <f>IF(AND(L6&lt;24,C67=""),"",C38+C67)</f>
        <v>0</v>
      </c>
      <c r="AC48" s="11" t="s">
        <v>351</v>
      </c>
      <c r="AE48" s="10" t="s">
        <v>352</v>
      </c>
      <c r="AG48" s="29" t="s">
        <v>353</v>
      </c>
      <c r="AI48" s="10" t="s">
        <v>354</v>
      </c>
    </row>
    <row r="49" spans="2:36" ht="15" hidden="1" customHeight="1">
      <c r="B49" s="288" t="s">
        <v>355</v>
      </c>
      <c r="C49" s="289"/>
      <c r="F49" s="9"/>
      <c r="L49" s="10" t="s">
        <v>356</v>
      </c>
      <c r="M49" s="24" t="str">
        <f ca="1">IF(AND(L6&lt;12,N13="Yes"),C68/12,IF(AND(L6&lt;12,N13="No"),C68/(12-X32),"Not accounted for"))</f>
        <v>Not accounted for</v>
      </c>
      <c r="N49" s="10" t="s">
        <v>357</v>
      </c>
      <c r="O49" s="24" t="str">
        <f>IF(L6&gt;=12,"",IF(C36="","",IF(AND(L6&lt;12,N13="Yes"),C36/X32,IF(AND(L6&lt;12,N13="No"),(C37+C36)/(X32+M29),"Not accounted for"))))</f>
        <v/>
      </c>
      <c r="AC49" s="22" t="str">
        <f>IF(C13="WVOE/VOI","",IF(AC51="","",IF(AND(L6&gt;=24,C36=""),"",IF(AND(L6&gt;=24,C37=""),"",IF(AND(L6&gt;=24,C38=""),"",IF(AND(L6&gt;=12,L6&lt;24,C36=""),"",IF(AND(L6&gt;=12,L6&lt;24,C37=""),"",IF(AND(L6&gt;=24,AC51=0),"",IF(AND(L6&gt;=24,AC53=0),"",IF(AND(L6&gt;=12,L6&lt;24,AC51=0),"",IF(AND(L6&gt;=24,AC51&gt;0,AC53&gt;0),"Yes",IF(AND(L6&gt;=12,L6&lt;24,L13="Yes",AC51&gt;0),"Yes",IF(AND(L6&gt;=12,L6&lt;24,M13="Yes",AC51&gt;0,AC53&gt;0),"Yes","No")))))))))))))</f>
        <v/>
      </c>
      <c r="AE49" s="19">
        <f>IF(C27="Weekly",(C28*52),IF(C27="Bi-Weekly",(C28*26),IF(C27="Semi-Monthly",(C28*2)*12,IF(C27="Annual",C28,IF(C27="Hourly",((C28*C29)*52),IF(C27="Monthly",C28*12,0))))))</f>
        <v>0</v>
      </c>
      <c r="AG49" s="19">
        <f>C40+C41+C42+C43+C39</f>
        <v>0</v>
      </c>
    </row>
    <row r="50" spans="2:36" ht="15" hidden="1" customHeight="1">
      <c r="B50" s="290"/>
      <c r="C50" s="291"/>
      <c r="F50" s="9"/>
      <c r="L50" s="287" t="s">
        <v>358</v>
      </c>
      <c r="M50" s="287"/>
      <c r="N50" s="287"/>
      <c r="O50" s="287"/>
      <c r="U50" s="287"/>
      <c r="V50" s="287"/>
      <c r="W50" s="287"/>
      <c r="X50" s="287"/>
      <c r="Y50" s="287"/>
      <c r="Z50" s="287"/>
      <c r="AC50" s="11" t="s">
        <v>359</v>
      </c>
      <c r="AE50" s="10" t="s">
        <v>360</v>
      </c>
      <c r="AG50" s="10" t="s">
        <v>361</v>
      </c>
      <c r="AI50" s="10" t="s">
        <v>362</v>
      </c>
      <c r="AJ50" s="10" t="s">
        <v>363</v>
      </c>
    </row>
    <row r="51" spans="2:36" ht="15" hidden="1" customHeight="1">
      <c r="B51" s="290"/>
      <c r="C51" s="291"/>
      <c r="F51" s="9"/>
      <c r="M51" s="22"/>
      <c r="P51" s="10" t="s">
        <v>364</v>
      </c>
      <c r="AC51" s="19">
        <f>IF(L6&gt;=24,AE51-AE49,IF(AND(L6&gt;=12,L6&lt;24,L13="Yes"),ROUND(AE51-((AE49/12)*X32),2),IF(AND(L6&gt;=12,L6&lt;24,L13="No"),AE51-AE49,0)))</f>
        <v>0</v>
      </c>
      <c r="AE51" s="19">
        <f>IF(C37="",0,C37)</f>
        <v>0</v>
      </c>
      <c r="AG51" s="30">
        <f>IF(C40="",0,ROUND(C40/AG49,4))</f>
        <v>0</v>
      </c>
      <c r="AI51" s="19">
        <f>AC51*AG51</f>
        <v>0</v>
      </c>
      <c r="AJ51" s="19">
        <f ca="1">AC53*AG51</f>
        <v>0</v>
      </c>
    </row>
    <row r="52" spans="2:36" ht="15" hidden="1" customHeight="1">
      <c r="B52" s="89" t="s">
        <v>365</v>
      </c>
      <c r="C52" s="83"/>
      <c r="F52" s="9"/>
      <c r="L52" s="10" t="s">
        <v>366</v>
      </c>
      <c r="M52" s="24" t="str">
        <f>IF(C52="","",IF(M29=0,"",IF(L6&gt;=12,C52/M29,IF(AND(L6&lt;12,N13="Yes"),(C52+C65)/M29,IF(AND(L6&lt;12,N13="No"),C52/M29,"")))))</f>
        <v/>
      </c>
      <c r="N52" s="22" t="s">
        <v>367</v>
      </c>
      <c r="O52" s="24">
        <f>IF(L6&gt;=24,ROUND((C53+C54)/2,2),IF(AND(L6&gt;=12,L6&lt;24,X26=(YEAR(C6)-2)),ROUND((C53+((C54/X32)*12))/2,2),""))</f>
        <v>0</v>
      </c>
      <c r="P52" s="10" t="str">
        <f>IF(M24="","",M24 - 1 &amp;" "&amp; "Base Income")</f>
        <v/>
      </c>
      <c r="Q52" s="31" t="s">
        <v>368</v>
      </c>
      <c r="V52" s="19"/>
      <c r="Y52" s="19"/>
      <c r="AC52" s="11" t="s">
        <v>369</v>
      </c>
      <c r="AE52" s="10" t="s">
        <v>370</v>
      </c>
      <c r="AG52" s="10" t="s">
        <v>371</v>
      </c>
      <c r="AI52" s="10" t="s">
        <v>372</v>
      </c>
      <c r="AJ52" s="10" t="s">
        <v>373</v>
      </c>
    </row>
    <row r="53" spans="2:36" ht="15" hidden="1" customHeight="1">
      <c r="B53" s="89" t="str">
        <f>P52</f>
        <v/>
      </c>
      <c r="C53" s="83"/>
      <c r="F53" s="9"/>
      <c r="L53" s="10" t="s">
        <v>374</v>
      </c>
      <c r="M53" s="24">
        <f>IF(L6&gt;=24,ROUND(C53/12,2),IF(AND(L6&gt;=12,L6&lt;24,X26=(YEAR(C6)-1)),ROUND(C53/X32,2),IF(AND(L6&gt;=12,L6&lt;24,X26=(YEAR(C6))-2),ROUND(C53/12,2),IF(AND(L6&lt;12, N13="Yes"),C68/12,IF(AND(L6&lt;12,N13="No"),(C68+C53)/12,"Not accounted for")))))</f>
        <v>0</v>
      </c>
      <c r="N53" s="22" t="s">
        <v>375</v>
      </c>
      <c r="O53" s="24" t="str">
        <f>IF(C52 = "","",IF(M29=0,"",IF(L6&gt;=12,ROUND((C52/M29)*12,2),IF(AND(L6&lt;12,N13="Yes"),ROUND(((C52+C65)/M29)*12,2),IF(AND(L6&lt;12,N13="No"),ROUND((C52/M29)*12,2),"Not accounted for")))))</f>
        <v/>
      </c>
      <c r="P53" s="10" t="str">
        <f>IF(M24="","",M24-2&amp;" "&amp;"Base Income")</f>
        <v/>
      </c>
      <c r="V53" s="19"/>
      <c r="Y53" s="19"/>
      <c r="AC53" s="19">
        <f ca="1">IF(AND(L6&gt;=24,M13="No"),AE53-AE49,IF(AND(L6&gt;=24,M13="Yes"),ROUND(AE53-((AE49/12)*X32),2),IF(AND(L6&gt;=12,L6&lt;24,M13="Yes"),ROUND(AE53-((AE49/12)*X32),2),IF(AND(L6&gt;=12,L6&lt;24,M13="No"),0,0))))</f>
        <v>0</v>
      </c>
      <c r="AE53" s="19">
        <f>IF(C38="",0,C38)</f>
        <v>0</v>
      </c>
      <c r="AG53" s="30">
        <f>IF(C41="",0,ROUND(C41/AG49,4))</f>
        <v>0</v>
      </c>
      <c r="AI53" s="19">
        <f>AC51*AG53</f>
        <v>0</v>
      </c>
      <c r="AJ53" s="19">
        <f ca="1">AC53*AG53</f>
        <v>0</v>
      </c>
    </row>
    <row r="54" spans="2:36" ht="15" hidden="1" customHeight="1">
      <c r="B54" s="89" t="str">
        <f>P53</f>
        <v/>
      </c>
      <c r="C54" s="83"/>
      <c r="F54" s="9"/>
      <c r="L54" s="10" t="s">
        <v>376</v>
      </c>
      <c r="M54" s="24">
        <f ca="1">IF(M13="Yes",C54/X32,IF(M13="No",C54/12,IF(L6&lt;12,C69/12,"Not accounted for")))</f>
        <v>0</v>
      </c>
      <c r="N54" s="22" t="s">
        <v>377</v>
      </c>
      <c r="O54" s="22" t="str">
        <f>IF(O53&gt;=O52,"Yes","No")</f>
        <v>Yes</v>
      </c>
      <c r="Q54" s="10" t="s">
        <v>378</v>
      </c>
      <c r="V54" s="19"/>
      <c r="AG54" s="10" t="s">
        <v>379</v>
      </c>
      <c r="AI54" s="10" t="s">
        <v>380</v>
      </c>
      <c r="AJ54" s="10" t="s">
        <v>381</v>
      </c>
    </row>
    <row r="55" spans="2:36" ht="15" hidden="1" customHeight="1">
      <c r="B55" s="114"/>
      <c r="C55" s="102"/>
      <c r="F55" s="9"/>
      <c r="G55" s="11"/>
      <c r="L55" s="10" t="s">
        <v>382</v>
      </c>
      <c r="M55" s="24">
        <f ca="1">IF( C13 = "Salary", "Base is salary",IF(AND(  L6&gt;=24,O55="Increasing"),(C53+C52)/(12+M29),IF(AND( M13 = "No", L6&gt;=24,O55="decreasing but stable",O54="Yes",M58&gt;=M57), (C54+C53+C52)/(24+M29),IF(AND( M13 = "No", L6&gt;=24,O55="decreasing but stable",O54="Yes",M58&lt;M57), (C52+C53)/(12+M29),IF(AND( M13 = "No", L6&gt;=24,O55="decreasing but stable",O54="No"), (C52+C53)/(12+M29),IF(AND( M13 = "Yes", L6&gt;=24,O55="decreasing but stable",O54="Yes",M58&gt;=M57), (C54+C53+C52)/(12+X32+M29),IF(AND( M13 = "Yes", L6&gt;=24,O55="decreasing but stable",O54="Yes",M58&lt;M57), (C52+C53)/(12+M29),IF(AND( M13 = "Yes", L6&gt;=24,O55="decreasing but stable",O54="No"), (C52+C53)/(12+M29),IF(AND( L6&gt;=24,O55="Decreasing"),ROUND(M52,2),IF(AND(L6&lt;24,L6&gt;=12,O55="Increasing",L13="Yes"),(C53+C52)/(M29+X32),IF(AND(L6&lt;24,L6&gt;=12,O55="Increasing",M13="Yes"),(C53+C52)/(12+M29),IF(AND(L6&lt;24,L6&gt;=12,O55="Decreasing"),ROUND(M52,2),IF(AND(L6&lt;24,L6&gt;=12,O55="decreasing but stable",O54="Yes",M13="Yes",M57&lt;=M58),(C54+C53+C52)/(M29+X32+12),IF(AND(L6&lt;24,L6&gt;=12,O55="decreasing but stable",O54="Yes",M13="Yes",M57&gt;M58),(C53+C52)/(M29+12),IF(AND(L6&lt;24,L6&gt;=12,O55="decreasing but stable",O54="No",M13="Yes"),(C53+C52)/(M29+12),IF(AND(L6&lt;12,O59&gt;=O58,M52&gt;=O60,N13="Yes"),ROUND(O58,2),IF(AND(L6&lt;12,O59&gt;=O58,M52&gt;=O60,N13="No"),(C52+C53)/(M29+X32),IF(AND(L6&lt;12,O59&gt;=O58,M52&lt;O60),ROUND(M52,2),IF(AND(O59&lt;O58,M52&gt;=M53, N13="Yes"),(C52+C68+C65)/(M29+12),IF(AND(L6&lt;12,O59&lt;O58,M52&gt;=M53, N13="No"),(C52+C53+C68)/(M29+12),IF(AND(L6&lt;12,O59&lt;O58,M52&lt;M53),(C65+C52)/M29,0)))))))))))))))))))))</f>
        <v>0</v>
      </c>
      <c r="N55" s="22" t="s">
        <v>383</v>
      </c>
      <c r="O55" s="22" t="str">
        <f>IF(C52="","",IF(AND(C11= "WVOE/VOI",L6&gt;=24,M54&lt;M53,M53&lt;M52),"Increasing",IF(AND(C11= "WVOE/VOI",L6&gt;=24,M54&gt;M53,M53&lt;M52),"Decreasing but stable",IF(AND(C11= "WVOE/VOI",L6&gt;=12,L6&lt;24,M13="Yes",M54&gt;M53,M53&lt;M52),"Decreasing but stable",IF(AND(C11= "WVOE/VOI",L6&gt;=24,M53&gt;M52),"Decreasing",IF(AND(C11= "WVOE/VOI",L6&gt;=12,L6&lt;24,L13="Yes",M53&lt;=M52),"Increasing",IF(AND(C11= "WVOE/VOI",L6&gt;=12,L6&lt;24,M53&lt;=M52,M54&lt;=M53,M13="Yes"),"Increasing",IF(AND(C11= "WVOE/VOI",L6&gt;=12,L6&lt;24,M53&gt;M52),"Decreasing",IF(AND(M54&gt;=M53,M53&lt;=M52),"Decreasing but stable",IF(AND(M53&lt;=M52),"Increasing",IF(AND(M53&gt;=M52),"Decreasing",IF(AND(M54&lt;M53,M53&lt;M52),"Increasing",IF(AND(M54&gt;M53,M53&gt;M52),"Decreasing",IF(AND(M54&lt;M53,M53&gt;M52),"Decreasing",""))))))))))))))</f>
        <v/>
      </c>
      <c r="Q55" s="10" t="s">
        <v>384</v>
      </c>
      <c r="V55" s="19"/>
      <c r="AG55" s="30">
        <f>IF(C42="",0,ROUND(C42/AG49,4))</f>
        <v>0</v>
      </c>
      <c r="AI55" s="19">
        <f>AC51*AG55</f>
        <v>0</v>
      </c>
      <c r="AJ55" s="19">
        <f ca="1">AC53*AG55</f>
        <v>0</v>
      </c>
    </row>
    <row r="56" spans="2:36" ht="15" hidden="1" customHeight="1">
      <c r="B56" s="90" t="s">
        <v>385</v>
      </c>
      <c r="C56" s="115" t="str">
        <f ca="1">IF(AND(C11="WVOE/VOI",L6&lt;12,C52=""),"",IF(AND(C11="WVOE/VOI",L6&lt;12,C68=""),"",IF(AND(C11="WVOE/VOI",L6&lt;12,C65="",N13="Yes"),"",IF(AND(C11="WVOE/VOI",L6&lt;12,C69=""),"",IF(AND(L6&gt;=12,L6&lt;24,C52=""),"",IF(AND(L6&gt;=12,L6&lt;24,C53=""),"",IF(AND(L6&gt;=12,L6&lt;24,C54="",L13="No"),"",IF(AND(L6&gt;=24,C11="WVOE/VOI",C52=""),"",IF(AND(L6&gt;=24,C53=""),"",IF(AND(L6&gt;=24,C54=""),"",IF(AND(C9="LPA ",L6&lt;12,M60&gt;10,M53&gt;M52),M52,IF(AND(C9="LPA ",L6&lt;12,M60&gt;10,C15="No",C57 = "No",M53&lt;M52),M53,IF(AND(C9="LPA ",L6&lt;12,M60&gt;10,C15="No",C57 = "Select One:",M53&lt;M52),M53,IF(AND(C9 = "LPA ",L6 &lt; 12,  M60&gt;10,M53 &lt; M52, C57 = "Yes", N13 = "Yes"),M57,IF(AND(C9 = "LPA ",L6 &lt; 12, M60&gt;10,M53 &lt; M52, C57 = "Yes", N13 = "No"), (C52 + C53 + C68) / (M29 + 12),IF(AND(C9="LPA ",M60&gt;10,C57="No",O55&lt;&gt;"Decreasing"),M53,IF(AND(C9="LPA ",M60&gt;10,C57="No",O55="Decreasing"),M52,IF(AND(C9="LPA ",M60&gt;10,C57="Select One:",O55&lt;&gt;"Decreasing"),M53,IF(AND(C9="LPA ",M60&gt;10,C57="Select One:",O55="Decreasing"),M52,IF(AND(C9="LPA ",M60&gt;10,C57="Yes",O55&lt;&gt;"Decreasing"),M57,IF(AND(C9="LPA ",M60&gt;10,C57="Yes",O55="Decreasing"),M52,IF(AND(L6&gt;=12,C15="No"),M55,IF(AND(L6&gt;=12,C15="Yes"),M55,IF(L6&lt;12,M55,""))))))))))))))))))))))))</f>
        <v/>
      </c>
      <c r="D56" s="26"/>
      <c r="F56" s="9"/>
      <c r="M56" s="24"/>
      <c r="N56" s="22"/>
      <c r="O56" s="22"/>
      <c r="V56" s="19"/>
      <c r="AG56" s="10" t="s">
        <v>386</v>
      </c>
      <c r="AI56" s="10" t="s">
        <v>387</v>
      </c>
      <c r="AJ56" s="10" t="s">
        <v>388</v>
      </c>
    </row>
    <row r="57" spans="2:36" ht="15" hidden="1" customHeight="1">
      <c r="B57" s="87" t="s">
        <v>334</v>
      </c>
      <c r="C57" s="92" t="s">
        <v>226</v>
      </c>
      <c r="F57" s="9"/>
      <c r="H57" s="11"/>
      <c r="L57" s="10" t="s">
        <v>389</v>
      </c>
      <c r="M57" s="24">
        <f>IF(L6&gt;=24,(C53+C52)/(12+M29),IF(AND(L6&gt;=12,L6&lt;24,X26=(YEAR(C6)-1)),(C52+C53)/(M29+X32),IF(AND(L6&gt;=12,L6&lt;24,X26=(YEAR(C6)-2)),(C53+C52)/(12+M29),IF(AND(L6&lt;12,N13="Yes"),(C52+C65+C68)/(M29+12),IF(AND(L6&lt;12,N13="No"),(C52+C53+C68)/(M29+12),0)))))</f>
        <v>0</v>
      </c>
      <c r="N57" s="22" t="s">
        <v>390</v>
      </c>
      <c r="O57" s="22" t="str">
        <f>IF(AND(L6&gt;=12,C53=""),"",IF(O53="","",IF(L6&gt;=24,ROUND((O53-C53)/C53*100,2),IF(AND(L6&gt;=12,L6&lt;24,X26=(YEAR(C6)-1)),ROUND((O53-((C53/X32)*12))/((C53/X32)*12)*100,2),IF(AND(L6&gt;=12,L6&lt;24,X26=(YEAR(C6)-2)),ROUND((O53-C53)/C53*100,2),IF(AND(L6&lt;12,N13="No"),ROUND((O53-((C53/X32)*12))/((C53/X32)*12)*100,2),IF(AND(L6&lt;12,N13="Yes"),ROUND(((O53-C68)/C68)*100,2),"Not accounted for")))))))</f>
        <v/>
      </c>
      <c r="Q57" s="10" t="s">
        <v>391</v>
      </c>
      <c r="AA57" s="11"/>
      <c r="AG57" s="30">
        <f>IF(C43="",0,ROUND(C43/AG49,4))</f>
        <v>0</v>
      </c>
      <c r="AI57" s="19">
        <f>AC51*AG57</f>
        <v>0</v>
      </c>
      <c r="AJ57" s="19">
        <f ca="1">AC53*AG57</f>
        <v>0</v>
      </c>
    </row>
    <row r="58" spans="2:36" ht="15" hidden="1" customHeight="1">
      <c r="B58" s="269" t="str">
        <f ca="1">IF(AND(C11="WVOE/VOI",L6&lt;12,C52=""),"",IF(AND(C11="WVOE/VOI",L6&lt;12,C68=""),"",IF(AND(C11="WVOE/VOI",L6&lt;12,C65="",N13="Yes"),"",IF(AND(C11="WVOE/VOI",L6&lt;12,C69=""),"",IF(O57="","",IF(O57&lt;-50,"The YTD has decreased"&amp;" "&amp;ROUND(ABS(O57),2)&amp;"%"&amp;" "&amp;"from last year's average. Condition for docuemntation to explain this decline",IF(O57&gt;50,"The YTD has increased"&amp;" "&amp;ROUND(O57,2)&amp;"%"&amp;" "&amp;"over last year's average. Verify that the increase in income is documented and supported","Okay to Proceed, See Summary tab for full breakdown")))))))</f>
        <v/>
      </c>
      <c r="C58" s="270"/>
      <c r="F58" s="9"/>
      <c r="H58" s="11"/>
      <c r="L58" s="10" t="s">
        <v>392</v>
      </c>
      <c r="M58" s="24">
        <f>IF(L6&gt;=24,(C54+C53+C52)/(24+M29),IF(AND(L6&gt;=12,L6&lt;24,X26=(YEAR(C6)-2)),(C54+C53+C52)/(12+M29+X32),0))</f>
        <v>0</v>
      </c>
      <c r="N58" s="10" t="s">
        <v>393</v>
      </c>
      <c r="O58" s="24" t="str">
        <f>IF(L6&gt;=12,"",IF(C52="","",IF(AND(L6&lt;12,N13="Yes"),C52/X32,IF(AND(L6&lt;12,N13="No"),(C52+C53)/(X32+M29),0))))</f>
        <v/>
      </c>
      <c r="AG58" s="10" t="s">
        <v>394</v>
      </c>
      <c r="AI58" s="10" t="s">
        <v>395</v>
      </c>
      <c r="AJ58" s="10" t="s">
        <v>396</v>
      </c>
    </row>
    <row r="59" spans="2:36" ht="27" hidden="1" customHeight="1">
      <c r="B59" s="271"/>
      <c r="C59" s="272"/>
      <c r="F59" s="9"/>
      <c r="L59" s="10" t="s">
        <v>397</v>
      </c>
      <c r="M59" s="24" t="str">
        <f ca="1">IF(AND(L6&lt;12, C52=""),"",IF(O59 = "Not accounted for","",IF(O58="Not accounted for","",IF(AND(O59&gt;=O58,O60&gt;=M52),"Current Employer only: Decreasing",IF(AND(O59&gt;=O58,O60&lt;M52),"Current Employer Only: Increasing",IF(AND(O59&lt;O58, M53&lt;M52),"Combined: Increasing",IF(AND(O59&lt;O58,M53&gt;=M52),"Combined: Decreasing","Not accounted for")))))))</f>
        <v/>
      </c>
      <c r="N59" s="22" t="s">
        <v>398</v>
      </c>
      <c r="O59" s="24" t="str">
        <f ca="1">IF(AND(L6&lt;12,N13="Yes"),C68/12,IF(AND(L6&lt;12,N13="No"),C68/(12-X32),"Not accounted for"))</f>
        <v>Not accounted for</v>
      </c>
      <c r="P59" s="10" t="s">
        <v>399</v>
      </c>
      <c r="Q59" s="19" t="str">
        <f>IF(C53="","",C53+C66)</f>
        <v/>
      </c>
      <c r="AG59" s="30">
        <f>IF(C39="",0,ROUND(C39/AG49,4))</f>
        <v>0</v>
      </c>
      <c r="AI59" s="19">
        <f>AC51*AG59</f>
        <v>0</v>
      </c>
      <c r="AJ59" s="19">
        <f ca="1">AC53*AG59</f>
        <v>0</v>
      </c>
    </row>
    <row r="60" spans="2:36" ht="15" hidden="1" customHeight="1">
      <c r="B60" s="20"/>
      <c r="C60" s="20"/>
      <c r="F60" s="9"/>
      <c r="L60" s="10" t="s">
        <v>297</v>
      </c>
      <c r="M60" s="22" t="str">
        <f>IF(M52="","",IF(M53=0,"",ABS(ROUND(((M52/M53)-1)*100,2))))</f>
        <v/>
      </c>
      <c r="N60" s="22" t="s">
        <v>400</v>
      </c>
      <c r="O60" s="19">
        <f ca="1">IF(AND(L6&lt;12,N13="No"),C53/X32,C53/12)</f>
        <v>0</v>
      </c>
      <c r="P60" s="10" t="s">
        <v>401</v>
      </c>
      <c r="Q60" s="19">
        <f>C54+C67</f>
        <v>0</v>
      </c>
    </row>
    <row r="61" spans="2:36" ht="15" hidden="1" customHeight="1">
      <c r="B61" s="20"/>
      <c r="C61" s="20"/>
      <c r="F61" s="9"/>
      <c r="J61" s="10" t="s">
        <v>402</v>
      </c>
      <c r="L61" s="11"/>
      <c r="M61" s="32"/>
      <c r="N61" s="9"/>
      <c r="P61" s="10" t="s">
        <v>403</v>
      </c>
      <c r="Q61" s="10" t="str">
        <f>IF(O53="","",IF(Q59="","",IF(Q60="","",(O53-((Q59+Q60)/2))/O53*100)))</f>
        <v/>
      </c>
    </row>
    <row r="62" spans="2:36" ht="15" hidden="1" customHeight="1">
      <c r="B62" s="273" t="s">
        <v>404</v>
      </c>
      <c r="C62" s="274"/>
      <c r="F62" s="9"/>
      <c r="I62" s="11"/>
      <c r="M62" s="22" t="str">
        <f>IF(C65="","",ROUND(C65/M29,2))</f>
        <v/>
      </c>
      <c r="N62" s="28"/>
      <c r="O62" s="19"/>
    </row>
    <row r="63" spans="2:36" ht="15" hidden="1" customHeight="1">
      <c r="B63" s="275"/>
      <c r="C63" s="276"/>
      <c r="F63" s="9"/>
      <c r="M63" s="22"/>
      <c r="P63" s="10" t="s">
        <v>405</v>
      </c>
      <c r="Q63" s="19" t="str">
        <f ca="1">IF(AND(L6&gt;=12,L6&lt;24,L13="Yes"),ROUND((C53+C128+C143+C158+C173)/X32,2),"")</f>
        <v/>
      </c>
      <c r="R63" s="10" t="s">
        <v>406</v>
      </c>
      <c r="S63" s="19" t="e">
        <f>((C52+C127+C142+C157+C172)/M29)</f>
        <v>#DIV/0!</v>
      </c>
    </row>
    <row r="64" spans="2:36" ht="15" hidden="1" customHeight="1">
      <c r="B64" s="275"/>
      <c r="C64" s="276"/>
      <c r="F64" s="9"/>
      <c r="M64" s="22"/>
      <c r="P64" s="10" t="s">
        <v>407</v>
      </c>
      <c r="Q64" s="10" t="str">
        <f ca="1">IF(AND(L6&gt;=12,L6&lt;24,M13="Yes"),ROUND((C54+C129+C144+C159+C174)/X32,2),"")</f>
        <v/>
      </c>
    </row>
    <row r="65" spans="2:17" ht="15" hidden="1" customHeight="1">
      <c r="B65" s="89" t="s">
        <v>408</v>
      </c>
      <c r="C65" s="83"/>
      <c r="F65" s="9"/>
      <c r="M65" s="22"/>
      <c r="N65" s="27"/>
    </row>
    <row r="66" spans="2:17" ht="15" hidden="1" customHeight="1">
      <c r="B66" s="89" t="str">
        <f>L66</f>
        <v/>
      </c>
      <c r="C66" s="83"/>
      <c r="F66" s="9"/>
      <c r="L66" s="10" t="str">
        <f>IF(M24="","",M24 - 1 &amp;" "&amp; "Past Employer W-2 Income")</f>
        <v/>
      </c>
      <c r="M66" s="22"/>
      <c r="P66" s="10" t="s">
        <v>409</v>
      </c>
      <c r="Q66" s="10" t="e">
        <f>IF(AND(L6&gt;=24,S63&gt;C53,C53&gt;C54,H20&gt;1),"Increasing",IF(AND(L6&gt;=24,S63&lt;Q63,H20&gt;1),"Decreasing",IF(AND(L6&gt;=24,S63&gt;Q63,Q63&lt;Q64),"Increasing",IF(AND(L6&gt;=12,L6&lt;24,L13 = "Yes",S63&gt;Q63),"Increasing",IF(AND(L6&gt;=12,L6&lt;24,L13 = "Yes",S63&lt;Q63),"Decreasing",IF(AND(L6&gt;=12,L6&lt;24,M13 = "Yes",S63&gt;Q63,Q63&gt;Q64),"Decreasing",IF(AND(L6&gt;=12,L6&lt;24,M13 = "Yes",S63&gt;Q63,Q63&lt;Q64),"Increasing",IF(AND(L6&gt;=12,L6&lt;24,M13 = "Yes",S63&lt;Q63,Q63&lt;Q64),"Decreasing",IF(AND(L6&gt;=12,L6&lt;24,M13 = "Yes",S63&lt;Q63,Q63&gt;Q64),"Decreasing","Not needed")))))))))</f>
        <v>#DIV/0!</v>
      </c>
    </row>
    <row r="67" spans="2:17" ht="15" hidden="1" customHeight="1">
      <c r="B67" s="89" t="str">
        <f>L67</f>
        <v/>
      </c>
      <c r="C67" s="83"/>
      <c r="F67" s="9"/>
      <c r="L67" s="10" t="str">
        <f>IF(M24="","",M24 - 2 &amp;" "&amp; "Past Employer W-2 Income")</f>
        <v/>
      </c>
      <c r="M67" s="22"/>
    </row>
    <row r="68" spans="2:17" ht="15" hidden="1" customHeight="1">
      <c r="B68" s="89" t="str">
        <f>L68</f>
        <v/>
      </c>
      <c r="C68" s="83"/>
      <c r="F68" s="9"/>
      <c r="G68" s="33"/>
      <c r="L68" s="10" t="str">
        <f>IF(M24="","",M24 - 1 &amp;" "&amp; "Past Employer Base Income")</f>
        <v/>
      </c>
      <c r="M68" s="24"/>
      <c r="O68" s="19"/>
    </row>
    <row r="69" spans="2:17" ht="15" hidden="1" customHeight="1">
      <c r="B69" s="89" t="str">
        <f>L69</f>
        <v/>
      </c>
      <c r="C69" s="83"/>
      <c r="F69" s="9"/>
      <c r="L69" s="10" t="str">
        <f>IF(M24="","",M24 - 2 &amp;" "&amp; "Past Employer Base Income")</f>
        <v/>
      </c>
      <c r="M69" s="24"/>
    </row>
    <row r="70" spans="2:17" ht="15" hidden="1" customHeight="1">
      <c r="B70" s="89" t="s">
        <v>410</v>
      </c>
      <c r="C70" s="83"/>
      <c r="F70" s="9"/>
      <c r="M70" s="24"/>
    </row>
    <row r="71" spans="2:17" ht="15" hidden="1" customHeight="1">
      <c r="B71" s="89" t="str">
        <f>L71</f>
        <v/>
      </c>
      <c r="C71" s="83"/>
      <c r="F71" s="9"/>
      <c r="L71" s="10" t="str">
        <f>IF(M24="","",M24 - 1 &amp;" "&amp; "Past Employer Overtime Income")</f>
        <v/>
      </c>
      <c r="M71" s="22"/>
    </row>
    <row r="72" spans="2:17" ht="15" hidden="1" customHeight="1">
      <c r="B72" s="89" t="str">
        <f>L72</f>
        <v/>
      </c>
      <c r="C72" s="83"/>
      <c r="F72" s="9"/>
      <c r="L72" s="10" t="str">
        <f>IF(M24="","",M24 - 2 &amp;" "&amp; "Past Employer Overtime Income")</f>
        <v/>
      </c>
      <c r="M72" s="22"/>
    </row>
    <row r="73" spans="2:17" ht="15" hidden="1" customHeight="1">
      <c r="B73" s="89" t="s">
        <v>411</v>
      </c>
      <c r="C73" s="83"/>
      <c r="F73" s="9"/>
      <c r="M73" s="22"/>
    </row>
    <row r="74" spans="2:17" ht="15" hidden="1" customHeight="1">
      <c r="B74" s="89" t="str">
        <f>L74</f>
        <v/>
      </c>
      <c r="C74" s="83"/>
      <c r="F74" s="9"/>
      <c r="L74" s="10" t="str">
        <f>IF(M24="","",M24 - 1 &amp;" "&amp; "Past Employer Bonus Income")</f>
        <v/>
      </c>
    </row>
    <row r="75" spans="2:17" ht="15" hidden="1" customHeight="1">
      <c r="B75" s="89" t="str">
        <f>L75</f>
        <v/>
      </c>
      <c r="C75" s="83"/>
      <c r="F75" s="9"/>
      <c r="L75" s="10" t="str">
        <f>IF(M24="","",M24 - 2 &amp;" "&amp; "Past Employer Bonus Income")</f>
        <v/>
      </c>
    </row>
    <row r="76" spans="2:17" ht="15" hidden="1" customHeight="1">
      <c r="B76" s="89" t="s">
        <v>412</v>
      </c>
      <c r="C76" s="83"/>
      <c r="F76" s="9"/>
    </row>
    <row r="77" spans="2:17" ht="15" hidden="1" customHeight="1">
      <c r="B77" s="89" t="str">
        <f>L77</f>
        <v/>
      </c>
      <c r="C77" s="83"/>
      <c r="F77" s="9"/>
      <c r="L77" s="10" t="str">
        <f>IF(M24="","",M24 - 1 &amp;" "&amp; "Past Employer Commission Income")</f>
        <v/>
      </c>
    </row>
    <row r="78" spans="2:17" ht="15" hidden="1" customHeight="1">
      <c r="B78" s="89" t="str">
        <f>L78</f>
        <v/>
      </c>
      <c r="C78" s="83"/>
      <c r="F78" s="9"/>
      <c r="L78" s="10" t="str">
        <f>IF(M24="","",M24 - 2 &amp;" "&amp; "Past Employer Commission Income")</f>
        <v/>
      </c>
    </row>
    <row r="79" spans="2:17" ht="15" hidden="1" customHeight="1">
      <c r="B79" s="89" t="s">
        <v>413</v>
      </c>
      <c r="C79" s="83"/>
      <c r="F79" s="9"/>
    </row>
    <row r="80" spans="2:17" ht="15" hidden="1" customHeight="1">
      <c r="B80" s="89" t="str">
        <f>L80</f>
        <v/>
      </c>
      <c r="C80" s="83"/>
      <c r="F80" s="9"/>
      <c r="L80" s="10" t="str">
        <f>IF(M24="","",M24 - 1 &amp;" "&amp; "Past Employer Tip Income")</f>
        <v/>
      </c>
    </row>
    <row r="81" spans="2:12" ht="15" hidden="1" customHeight="1">
      <c r="B81" s="89" t="str">
        <f>L81</f>
        <v/>
      </c>
      <c r="C81" s="83"/>
      <c r="F81" s="9"/>
      <c r="L81" s="10" t="str">
        <f>IF(M24="","",M24 - 2 &amp;" "&amp; "Past Employer Tip Income")</f>
        <v/>
      </c>
    </row>
    <row r="82" spans="2:12" ht="15" hidden="1" customHeight="1">
      <c r="B82" s="34"/>
      <c r="C82" s="34"/>
      <c r="F82" s="9"/>
    </row>
    <row r="83" spans="2:12" ht="14.25" hidden="1" customHeight="1">
      <c r="B83" s="17"/>
      <c r="C83" s="35"/>
      <c r="F83" s="9"/>
    </row>
    <row r="84" spans="2:12" ht="15" hidden="1" customHeight="1">
      <c r="B84" s="17"/>
      <c r="C84" s="36"/>
      <c r="F84" s="9"/>
    </row>
    <row r="85" spans="2:12" ht="15" hidden="1" customHeight="1">
      <c r="B85" s="277" t="s">
        <v>414</v>
      </c>
      <c r="C85" s="277"/>
      <c r="F85" s="9"/>
    </row>
    <row r="86" spans="2:12" ht="15" hidden="1" customHeight="1">
      <c r="B86" s="277"/>
      <c r="C86" s="277"/>
      <c r="F86" s="9"/>
    </row>
    <row r="87" spans="2:12" ht="15" hidden="1" customHeight="1">
      <c r="B87" s="17"/>
      <c r="C87" s="36"/>
      <c r="F87" s="9"/>
    </row>
    <row r="88" spans="2:12" ht="15" hidden="1" customHeight="1">
      <c r="B88" s="89" t="s">
        <v>415</v>
      </c>
      <c r="C88" s="82" t="s">
        <v>226</v>
      </c>
      <c r="D88" s="26"/>
      <c r="F88" s="9"/>
    </row>
    <row r="89" spans="2:12" ht="15" hidden="1" customHeight="1">
      <c r="B89" s="89" t="s">
        <v>541</v>
      </c>
      <c r="C89" s="82" t="s">
        <v>226</v>
      </c>
      <c r="F89" s="9"/>
    </row>
    <row r="90" spans="2:12" ht="15" hidden="1" customHeight="1">
      <c r="B90" s="17"/>
      <c r="C90" s="17"/>
      <c r="F90" s="9"/>
    </row>
    <row r="91" spans="2:12" ht="15" hidden="1" customHeight="1">
      <c r="B91" s="17"/>
      <c r="C91" s="17"/>
      <c r="F91" s="9"/>
    </row>
    <row r="92" spans="2:12" ht="15" hidden="1" customHeight="1">
      <c r="B92" s="20"/>
      <c r="C92" s="20"/>
      <c r="F92" s="9"/>
    </row>
    <row r="93" spans="2:12" ht="15" hidden="1" customHeight="1">
      <c r="B93" s="20"/>
      <c r="C93" s="20"/>
      <c r="F93" s="9"/>
    </row>
    <row r="94" spans="2:12" ht="15" hidden="1" customHeight="1">
      <c r="B94" s="34"/>
      <c r="C94" s="34"/>
      <c r="F94" s="9"/>
    </row>
    <row r="95" spans="2:12" ht="15" hidden="1" customHeight="1">
      <c r="B95" s="34"/>
      <c r="C95" s="34"/>
      <c r="F95" s="9"/>
    </row>
    <row r="96" spans="2:12" ht="15" hidden="1" customHeight="1">
      <c r="B96" s="34"/>
      <c r="C96" s="34"/>
      <c r="F96" s="9"/>
    </row>
    <row r="97" spans="2:6" ht="15" hidden="1" customHeight="1">
      <c r="B97" s="17"/>
      <c r="C97" s="35"/>
      <c r="F97" s="9"/>
    </row>
    <row r="98" spans="2:6" ht="15" hidden="1" customHeight="1">
      <c r="B98" s="17"/>
      <c r="C98" s="35"/>
      <c r="F98" s="9"/>
    </row>
    <row r="99" spans="2:6" ht="15" hidden="1" customHeight="1">
      <c r="B99" s="17"/>
      <c r="C99" s="35"/>
      <c r="F99" s="9"/>
    </row>
    <row r="100" spans="2:6" ht="15" hidden="1" customHeight="1">
      <c r="B100" s="17"/>
      <c r="C100" s="37"/>
      <c r="F100" s="9"/>
    </row>
    <row r="101" spans="2:6" ht="15" hidden="1" customHeight="1">
      <c r="B101" s="17"/>
      <c r="C101" s="37"/>
      <c r="F101" s="9"/>
    </row>
    <row r="102" spans="2:6" ht="15" hidden="1" customHeight="1">
      <c r="B102" s="17"/>
      <c r="C102" s="37"/>
      <c r="F102" s="9"/>
    </row>
    <row r="103" spans="2:6" ht="15" hidden="1" customHeight="1">
      <c r="B103" s="17"/>
      <c r="C103" s="37"/>
      <c r="F103" s="9"/>
    </row>
    <row r="104" spans="2:6" ht="15" hidden="1" customHeight="1">
      <c r="B104" s="17"/>
      <c r="C104" s="37"/>
      <c r="F104" s="9"/>
    </row>
    <row r="105" spans="2:6" ht="15" hidden="1" customHeight="1">
      <c r="B105" s="17"/>
      <c r="C105" s="36"/>
      <c r="F105" s="9"/>
    </row>
    <row r="106" spans="2:6" ht="15" hidden="1" customHeight="1">
      <c r="B106" s="17"/>
      <c r="C106" s="17"/>
      <c r="F106" s="9"/>
    </row>
    <row r="107" spans="2:6" ht="15" hidden="1" customHeight="1">
      <c r="B107" s="17"/>
      <c r="C107" s="17"/>
      <c r="F107" s="9"/>
    </row>
    <row r="108" spans="2:6" ht="15" hidden="1" customHeight="1">
      <c r="B108" s="17"/>
      <c r="C108" s="17"/>
      <c r="F108" s="9"/>
    </row>
    <row r="109" spans="2:6" ht="15" hidden="1" customHeight="1">
      <c r="B109" s="17"/>
      <c r="C109" s="17"/>
      <c r="F109" s="9"/>
    </row>
    <row r="110" spans="2:6" ht="15" hidden="1" customHeight="1">
      <c r="B110" s="17"/>
      <c r="C110" s="17"/>
      <c r="F110" s="9"/>
    </row>
    <row r="111" spans="2:6" ht="15" hidden="1" customHeight="1">
      <c r="B111" s="34"/>
      <c r="C111" s="34"/>
      <c r="F111" s="9"/>
    </row>
    <row r="112" spans="2:6" ht="15" hidden="1" customHeight="1">
      <c r="B112" s="34"/>
      <c r="C112" s="34"/>
      <c r="F112" s="9"/>
    </row>
    <row r="113" spans="2:22" ht="15" hidden="1" customHeight="1">
      <c r="B113" s="34"/>
      <c r="C113" s="34"/>
      <c r="F113" s="9"/>
    </row>
    <row r="114" spans="2:22" ht="15" hidden="1" customHeight="1">
      <c r="B114" s="17"/>
      <c r="C114" s="35"/>
      <c r="F114" s="9"/>
    </row>
    <row r="115" spans="2:22" ht="15" hidden="1" customHeight="1">
      <c r="B115" s="17"/>
      <c r="C115" s="35"/>
      <c r="F115" s="9"/>
    </row>
    <row r="116" spans="2:22" ht="15" hidden="1" customHeight="1">
      <c r="B116" s="17"/>
      <c r="C116" s="35"/>
      <c r="F116" s="9"/>
    </row>
    <row r="117" spans="2:22" ht="15" hidden="1" customHeight="1">
      <c r="B117" s="17"/>
      <c r="C117" s="37"/>
      <c r="F117" s="9"/>
    </row>
    <row r="118" spans="2:22" ht="14.25" hidden="1" customHeight="1">
      <c r="B118" s="17"/>
      <c r="C118" s="36"/>
      <c r="F118" s="9"/>
    </row>
    <row r="119" spans="2:22" ht="15" hidden="1" customHeight="1">
      <c r="B119" s="17"/>
      <c r="C119" s="17"/>
      <c r="F119" s="9"/>
    </row>
    <row r="120" spans="2:22" ht="15" hidden="1" customHeight="1">
      <c r="B120" s="17"/>
      <c r="C120" s="17"/>
      <c r="F120" s="9"/>
    </row>
    <row r="121" spans="2:22" ht="15" hidden="1" customHeight="1">
      <c r="B121" s="17"/>
      <c r="C121" s="17"/>
      <c r="F121" s="9"/>
    </row>
    <row r="122" spans="2:22" hidden="1">
      <c r="B122" s="278"/>
      <c r="C122" s="278"/>
      <c r="F122" s="9"/>
      <c r="L122" s="284" t="s">
        <v>416</v>
      </c>
      <c r="M122" s="284"/>
      <c r="N122" s="284"/>
      <c r="O122" s="284"/>
      <c r="P122" s="284"/>
      <c r="Q122" s="284"/>
      <c r="R122" s="284"/>
      <c r="S122" s="284"/>
    </row>
    <row r="123" spans="2:22" ht="15" hidden="1" customHeight="1">
      <c r="B123" s="280" t="s">
        <v>417</v>
      </c>
      <c r="C123" s="280"/>
      <c r="F123" s="9"/>
    </row>
    <row r="124" spans="2:22" hidden="1">
      <c r="B124" s="280"/>
      <c r="C124" s="280"/>
      <c r="F124" s="285"/>
      <c r="I124" s="11"/>
    </row>
    <row r="125" spans="2:22" hidden="1">
      <c r="B125" s="281"/>
      <c r="C125" s="281"/>
      <c r="F125" s="285"/>
      <c r="M125" s="22"/>
    </row>
    <row r="126" spans="2:22" hidden="1">
      <c r="B126" s="89" t="s">
        <v>303</v>
      </c>
      <c r="C126" s="96" t="str">
        <f>IF(C40="","",C40)</f>
        <v/>
      </c>
      <c r="F126" s="285"/>
      <c r="L126" s="10" t="s">
        <v>418</v>
      </c>
      <c r="M126" s="24">
        <f ca="1">IF(AND(C11="Paystub and W-2(s)",C126=""),0,IF(M29="","",IF(AND(C11="WVOE/VOI",C127=""),0,IF(AND(C11 = "Paystub and W-2(s)", L6&gt;=12), C126/M29,IF(AND(C11="WVOE/VOI",L6&gt;=12),C127/M29,IF(AND(C11="Paystub and W-2(s)",L6&lt;12, N13="Yes"),(C126+C70)/M29,IF(AND(C11="Paystub and W-2(s)",L6&lt;12, N13="No"),C126/M29,IF(AND(C11="WVOE/VOI",L6&lt;12,N13="Yes"),(C127+C70)/M29,IF(AND(C11="WVOE/VOI",L6&lt;12,N13="No"),C127/M29,0)))))))))</f>
        <v>0</v>
      </c>
      <c r="N126" s="10" t="s">
        <v>291</v>
      </c>
      <c r="O126" s="19" t="str">
        <f ca="1">IF(M129=0,"",IF(AND(C11="Paystub and W-2(s)",L6&gt;=24),(C130+C131)/2,IF(AND(C11="WVOE/VOI",L6&gt;=24),(C128+C129)/2,IF(AND(C11="Paystub and W-2(s)",L6&gt;=12,L6&lt;24,M13="Yes"),(AJ40+C130)/2,IF(AND(C11="WVOE/VOI",L6&gt;=12,L6&lt;24,M13="Yes"),(((C129/X32)*12)+C128)/2,IF(AND(L6&lt;12,N13="Yes"),(C71+C72)/2,IF(AND(L6&lt;12,N13="No"),(C71+C72+C128)/2,"Not accounted for")))))))</f>
        <v/>
      </c>
    </row>
    <row r="127" spans="2:22" hidden="1">
      <c r="B127" s="89" t="s">
        <v>419</v>
      </c>
      <c r="C127" s="88"/>
      <c r="F127" s="285"/>
      <c r="M127" s="24"/>
      <c r="O127" s="24"/>
      <c r="P127" s="11" t="s">
        <v>420</v>
      </c>
      <c r="R127" s="11" t="s">
        <v>421</v>
      </c>
      <c r="S127" s="10" t="str">
        <f ca="1">IF(O128 = "","",IF(AND(C11="Paystub and W-2(s)",C13="Salary",AC49="No"),"",IF(AND(C11="Paystub and W-2(s)",L6&gt;=24),ROUND((O128-C130)/C130*100,2),IF(AND(C11="WVOE/VOI",L6&gt;=24),ROUND((O128-C128)/C128*100,2),IF(AND(C11="Paystub and W-2(s)",L6&gt;=12,L6&lt;24,X26=(YEAR(C6)-1)),ROUND((O128-S132)/S132*100,2),IF(AND(C11="Paystub and W-2(s)",L6&gt;=12,L6&lt;24,X26=(YEAR(C6)-2)),ROUND((O128-C130)/C130*100,2),IF(AND(C11="WVOE/VOI",L6&gt;=12,L6&lt;24,X26=(YEAR(C6)-1)),ROUND((O128-S132)/S132*100,2),IF(AND(C11="WVOE/VOI",L6&gt;=12,L6&lt;24,X26=(YEAR(C6)-2)),ROUND((O128-C128)/C128*100,2),IF(AND(L6&lt;12,N13="No"),ROUND((O128-((C128/X32)*12))/((C128/X32)*12)*100,2),IF(AND(L6&lt;12,N13="Yes"),ROUND(((O128-C71)/C71)*100,2),""))))))))))</f>
        <v/>
      </c>
      <c r="U127" s="10" t="s">
        <v>422</v>
      </c>
    </row>
    <row r="128" spans="2:22" hidden="1">
      <c r="B128" s="89" t="str">
        <f>P132</f>
        <v/>
      </c>
      <c r="C128" s="83"/>
      <c r="F128" s="285"/>
      <c r="L128" s="10" t="s">
        <v>423</v>
      </c>
      <c r="M128" s="24" t="str">
        <f ca="1">IF(AND(C11="Paystub and W-2(s)",C130=""),"",IF(AND(C11="WVOE/VOI",C128="",N13="No"),"",IF(AND(C11="Paystub and W-2(s)",L6&gt;=24),C130/12,IF(AND(C11="WVOE/VOI",L6&gt;=24),C128/12,IF(AND(C11="Paystub and W-2(s)",L6&gt;=12,L6&lt;24,X26=(YEAR(C6)-1)),C130/X32,IF(AND(C11="WVOE/VOI",L6&gt;=12,L6&lt;24,X26=(YEAR(C6)-1)),C128/X32,IF(AND(C11="Paystub and W-2(s)",L6&gt;=12,L6&lt;24,X26=(YEAR(C6)-2)),C130/12,IF(AND(C11="WVOE/VOI",L6&gt;=12,L6&lt;24,X26=(YEAR(C6)-2)),C128/12,IF(AND(L6&lt;12,N13="Yes"),C71/12,IF(AND(L6&lt;12,N13="No"),(C71+C128)/12,"Not accounted for"))))))))))</f>
        <v>Not accounted for</v>
      </c>
      <c r="N128" s="10" t="s">
        <v>298</v>
      </c>
      <c r="O128" s="24" t="str">
        <f ca="1">IF(AND(C11="Paystub and W-2(s)",C126=""),"",IF(M29="","",IF(AND(C11="WVOE/VOI",C127=""),"",IF(AND(C11 = "Paystub and W-2(s)", L6&gt;=12), ROUND((C126/M29)*12,2),IF(AND(C11="WVOE/VOI",L6&gt;=12),ROUND((C127/M29)*12,2),IF(AND(C11="Paystub and W-2(s)",L6&lt;12, N13="Yes"),ROUND(((C126+C70)/M29)*12,2),IF(AND(C11="Paystub and W-2(s)",L6&lt;12, N13="No"),ROUND((C126/M29)*12,2),IF(AND(C11="WVOE/VOI",L6&lt;12,N13="Yes"),ROUND(((C127+C70)/M29)*12,2),IF(AND(C11="WVOE/VOI",L6&lt;12,N13="No"),ROUND((C127/M29)*12,2),"")))))))))</f>
        <v/>
      </c>
      <c r="P128" s="10" t="str">
        <f>IF(M24="","",M24 - 1 &amp;" "&amp;"amount"&amp;" of"&amp;" OT" &amp;" from"&amp;" W-2")</f>
        <v/>
      </c>
      <c r="U128" s="10" t="s">
        <v>424</v>
      </c>
      <c r="V128" s="19">
        <f ca="1">IF(AND(L6&lt;12,N13="Yes"),C127/X32,IF(AND(L6&lt;12,N13="No"),(C127+C128)/(X32+M29),0))</f>
        <v>0</v>
      </c>
    </row>
    <row r="129" spans="2:22" hidden="1">
      <c r="B129" s="89" t="str">
        <f>P133</f>
        <v/>
      </c>
      <c r="C129" s="85"/>
      <c r="F129" s="285"/>
      <c r="L129" s="10" t="s">
        <v>425</v>
      </c>
      <c r="M129" s="24">
        <f ca="1">IF(AND(C11="WVOE/VOI",C129=""),0,IF(AND(C11="Paystub and W-2(s)",C131=""),"",IF(AND(C11="Paystub and W-2(s)", L6&gt;=24),C131/12,IF(AND(C11="WVOE/VOI",L6&gt;=24),C129/12,IF(AND(C11="Paystub and W-2(s)",L6&gt;=12,L6&lt;24,M13="Yes"),C131/X32,IF(AND(C11="WVOE/VOI",L6&gt;=12,L6&lt;24,M13="Yes"),C129/X32,IF(L6&lt;12,C72/12,0)))))))</f>
        <v>0</v>
      </c>
      <c r="N129" s="10" t="s">
        <v>328</v>
      </c>
      <c r="O129" s="22" t="str">
        <f ca="1">IF(O128&gt;=O126,"Yes","No")</f>
        <v>Yes</v>
      </c>
      <c r="P129" s="10" t="str">
        <f>IF(M24="","",M24 - 2 &amp;" "&amp;"amount"&amp;" of"&amp;" OT" &amp;" from"&amp;" W-2")</f>
        <v/>
      </c>
      <c r="U129" s="10" t="s">
        <v>426</v>
      </c>
      <c r="V129" s="19" t="str">
        <f ca="1">IF(AND(L6&lt;12,N13="Yes"),C71/12,IF(AND(L6&lt;12,N13="No"),C71/(12-X32),"Not accounted for"))</f>
        <v>Not accounted for</v>
      </c>
    </row>
    <row r="130" spans="2:22" hidden="1">
      <c r="B130" s="89" t="str">
        <f>P128</f>
        <v/>
      </c>
      <c r="C130" s="96">
        <f>IF(C37="",0,IF(AND(C13="Variable",AD40=""),0,IF(AND(C13="Salary",AI51=0),0,IF(AND(C13="Salary",AI51&gt;0),AI51,IF(C13="Variable",AD40,0)))))</f>
        <v>0</v>
      </c>
      <c r="F130" s="285"/>
      <c r="L130" s="10" t="s">
        <v>383</v>
      </c>
      <c r="M130" s="24" t="str">
        <f ca="1">IF(M126=0,"",IF(AND(C11="Paystub and W-2(s)",C126=0),"",IF(AND(C11="WVOE/VOI",C127=0),"",IF(AND(L6&gt;=12,M129&lt;=M128,M128&lt;=M126),"Increasing",IF(AND(L6&gt;=12,M129&gt;M128,M128&gt;M126),"Decreasing",IF(AND(L6&gt;=12,M129&gt;M128,M128&lt;M126),"Decreasing but stable",IF(AND(L6&gt;=12,M129&lt;M128,M128&gt;M126),"Decreasing",IF(AND(L6&gt;=12,M129&gt;=M128,M128&gt;M126),"Decreasing",IF(AND(L6&gt;=12,M129&gt;M128,M128&lt;M126,O129="Yes",O130&lt;O131),"Increasing",IF(AND(L6&gt;=12,M129&lt;M128,M128&lt;M126),"Increasing",IF(AND(L6&lt;12,M129&gt;M133,M133&gt;M126),"Decreasing",IF(AND(L6&lt;12,M129&lt;M128,M128&gt;M126),"Decreasing",IF(AND(L6&lt;12,M129&lt;M128,M128&lt;M126),"Increasing",IF(AND(L6&gt;=12,M128&lt;M126),"Increasing",IF(AND(L6&gt;=12,M128&gt;M126),"Decreasing",IF(AND(L6&lt;12,M128&gt;M126),"Decreasing",""))))))))))))))))</f>
        <v/>
      </c>
      <c r="N130" s="10" t="s">
        <v>340</v>
      </c>
      <c r="O130" s="24">
        <f ca="1">IF(AND(C11="Paystub and W-2(s)",C126=""),0,IF(AND(C11="Paystub and W-2(s)",C130=""),0,IF(AND(C11="WVOE/VOI",L6&gt;=12,C127=""),"",IF(AND(C11="WVOE/VOI",L6&gt;=12,C128=""),0,IF(AND(C11="Paystub and W-2(s)",L6&gt;=24),(C130+C126)/(12+M29),IF(AND(C11="WVOE/VOI",L6&gt;=24),(C128+C127)/(12+M29),IF(AND(C11="Paystub and W-2(s)",L6&gt;=12,L6&lt;24,X26=(YEAR(C6)-1)),(C130+C126)/(X32+M29),IF(AND(C11="WVOE/VOI",L6&gt;=12,L6&lt;24,X26=(YEAR(C6)-1)),(C128+C127)/(X32+M29),IF(AND(C11="Paystub and W-2(s)",L6&gt;=12,L6&lt;24,X26=(YEAR(C6)-2)),(C130+C126)/(12+M29),IF(AND(C11="WVOE/VOI",L6&gt;=12,L6&lt;24,X26=(YEAR(C6)-2)),(C128+C127)/(12+M29),IF(AND(L6&lt;12,N13="Yes"),(C127+C71+C70)/(M29+12),IF(AND(L6&lt;12,N13="No"),(C127+C128+C71)/(12+M29),0))))))))))))</f>
        <v>0</v>
      </c>
      <c r="U130" s="10" t="s">
        <v>427</v>
      </c>
      <c r="V130" s="19">
        <f ca="1">IF(AND(L6&lt;12,N13="No"),C128/X32,C128/12)</f>
        <v>0</v>
      </c>
    </row>
    <row r="131" spans="2:22" hidden="1">
      <c r="B131" s="89" t="str">
        <f>P129</f>
        <v/>
      </c>
      <c r="C131" s="97">
        <f>IF(C38="",0,IF(AND(C13="Variable",AF40 = ""),0,IF(AND(C13="Salary",AJ51=""),0,IF(AND(C13="Salary",AJ51&gt;0),AJ51,IF(C13="Variable",AF40,0)))))</f>
        <v>0</v>
      </c>
      <c r="F131" s="285"/>
      <c r="H131" s="11"/>
      <c r="L131" s="10" t="s">
        <v>382</v>
      </c>
      <c r="M131" s="24">
        <f>IF(AND(C11="WVOE/VOI",C127=""),0,IF(AND(C11="WVOE/VOI",L6&gt;=12,C128=""),0,IF(AND(C11="Paystub and W-2(s)",C126=""),0,IF(C11="Select One:",0,IF(C19&lt;&gt;"Yes",0,IF(AND(C11="WVOE/VOI",M130="Decreasing but stable",L6&gt;=24,M13="No",O129="Yes"),(C127+C128+C129)/(24+M29),IF(AND(C11="WVOE/VOI",M130="Decreasing but stable",L6&gt;=24,M13="Yes"),(C127+C128+C129)/(12+X32+M29),IF(AND(M13="No",L6&gt;=24,C11="WVOE/VOI",H20&gt;1,M130="Decreasing but stable",O129="No"),(C127+C128)/(12+M29),IF(AND(M13="No",L6&gt;=24,C11="WVOE/VOI",H20=1,M130="Decreasing but stable",O129="No"),(C127+C128)/(12+M29),IF(AND(C11="Paystub and W-2(s)",H20=1,C40&gt;0,M130="Increasing",L6&gt;=24),(C126+C130)/(12+M29),IF(AND(M13="No",L6&gt;=24,C11="Paystub and W-2(s)",H20=1,C40&gt;0,M130="Decreasing but stable",O129="Yes",O131&gt;=O130),(C126+C130+C131)/(24+M29),IF(AND(M13="No",L6&gt;=24,C11="Paystub and W-2(s)",H20=1,C40&gt;0,M130="Decreasing but stable",O129="Yes",O131&lt;O130),(C126+C130)/(12+M29),IF(AND(M13="No",L6&gt;=24,C11="Paystub and W-2(s)",H20=1,C40&gt;0,M130="Decreasing but stable",O129="No"),(C126+C130)/(12+M29),IF(AND(M13="Yes",L6&gt;=24,C11="Paystub and W-2(s)",H20=1,C40&gt;0,M130="Decreasing but stable",O129="Yes",O131&gt;=O130),(C126+C130+C131)/(12+X32+M29),IF(AND(M13="Yes",L6&gt;=24,C11="Paystub and W-2(s)",H20=1,C40&gt;0,M130="Decreasing but stable",O129="Yes",O131&lt;O130),(C126+C130)/(12+M29),IF(AND(M13="Yes",L6&gt;=24,C11="Paystub and W-2(s)",H20=1,C40&gt;0,M130="Decreasing but stable",O129="No"),(C126+C130)/(12+M29),IF(AND(M13="No",L6&gt;=24,C11="Paystub and W-2(s)",H20&gt;1,C40&gt;0,AD46="Increasing",M130="Decreasing but stable",O129="Yes",O131&gt;=O130),(C126+C130+C131)/(24+M29),IF(AND(M13="No",L6&gt;=24,C11="Paystub and W-2(s)",H20&gt;1,C40&gt;0,AD46="Increasing",M130="Decreasing but stable",O129="Yes",O131&lt;O130),(C126+C130)/(12+M29),IF(AND(M13="No",L6&gt;=24,C11="Paystub and W-2(s)",H20&gt;1,C40&gt;0,AD46="Increasing",M130="Decreasing but stable",O129="No"),(C126+C130)/(12+M29),IF(AND(M13="Yes",L6&gt;=24,C11="Paystub and W-2(s)",H20&gt;1,C40&gt;0,AD46="Increasing",M130="Decreasing but stable",O129="Yes",O131&gt;=O130),(C126+C130+C131)/(24+M29),IF(AND(M13="Yes",L6&gt;=24,C11="Paystub and W-2(s)",H20&gt;1,C40&gt;0,AD46="Increasing",M130="Decreasing but stable",O129="Yes",O131&lt;O130),(C126+C130)/(12+M29),IF(AND(M13="Yes",L6&gt;=24,C11="Paystub and W-2(s)",H20&gt;1,C40&gt;0,AD46="Increasing",M130="Decreasing but stable",O129="No"),(C126+C130)/(12+M29),IF(AND(C11="Paystub and W-2(s)",H20=1,C40&gt;0,M130="Decreasing",L6&gt;=24),M126,IF(AND(C11="Paystub and W-2(s)",C13="Variable",H20&gt;1,C40&gt;0,AD46="Decreasing",L6&gt;=24),M126,IF(AND(C11="Paystub and W-2(s)",H20&gt;1,C40&gt;0,AD46="Increasing",M130="Increasing",L6&gt;=24),(C126+C130)/(12+M29),IF(AND(C11="Paystub and W-2(s)",H20&gt;1,C40&gt;0,AD46="Increasing",M130="Decreasing",L6&gt;=24),M126,IF(AND(C11="Paystub and W-2(s)",C13="Salary",H20&gt;1,C40&gt;0,AD46="Decreasing",L6&gt;=24),M126,IF(AND(C11="WVOE/VOI",M130="Increasing",L6&gt;=24),(C127+C128)/(12+M29),IF(AND(C11="WVOE/VOI",M130="Decreasing",L6&gt;=24),M126,IF(AND(C11="Paystub and W-2(s)",H20=1,C40&gt;0,M130="Increasing",L6&gt;=12,L6&lt;24,L13="Yes"),(C126+C130)/(M29+X32),IF(AND(C11="Paystub and W-2(s)",H20=1,C40&gt;0,M130="Increasing",L6&gt;=12,L6&lt;24,M13="Yes"),(C126+C130)/(M29+12),IF(AND(C11="Paystub and W-2(s)",H20=1,C40&gt;0,M130="Decreasing",L6&gt;=12,L6&lt;24),M126,IF(AND(C11="Paystub and W-2(s)",H20=1,C40&gt;0,M130="Decreasing but stable",L6&gt;=12,L6&lt;24,M13="Yes",O129="Yes",O131&gt;=O130),(C126+C130+C131)/(M29+X32+12),IF(AND(C11="Paystub and W-2(s)",H20=1,C40&gt;0,M130="Decreasing but stable",L6&gt;=12,L6&lt;24,M13="Yes",O129="Yes",O131&lt;O130),(C126+C130)/(M29+12),IF(AND(C11="Paystub and W-2(s)",H20=1,C40&gt;0,M130="Decreasing but stable",L6&gt;=12,L6&lt;24,M13="Yes",O129="No"),(C126+C130)/(M29+12),IF(AND( C11="Paystub and W-2(s)",H20&gt;1,C40&gt;0,AD46="Increasing",M130="Increasing",L6&gt;=12,L6&lt;24,L13="Yes"),(C126+C130)/(M29+X32),IF(AND(C11="Paystub and W-2(s)",H20&gt;1,C40&gt;0,AD46="Increasing",M130="Increasing",L6&gt;=12,L6&lt;24,M13="Yes"),(C126+C130)/(M29+12),IF(AND(C11="Paystub and W-2(s)",H20&gt;1,C40&gt;0,AD46="Increasing",M130="Decreasing",L6&gt;=12,L6&lt;24),M126,IF(AND( C11="Paystub and W-2(s)",H20&gt;1,C40&gt;0,AD46="Increasing",M130="Decreasing but stable",L6&gt;=12,L6&lt;24,M13="Yes",O129="Yes",O131&gt;=O130),(C126+C130+C131)/(M29+X32+12),IF(AND( C11="Paystub and W-2(s)",H20&gt;1,C40&gt;0,AD46="Increasing",M130="Decreasing but stable",L6&gt;=12,L6&lt;24,M13="Yes",O129="Yes",O131&lt;O130),(C126+C130)/(M29+12),IF(AND( C11="Paystub and W-2(s)",H20&gt;1,C40&gt;0,AD46="Increasing",M130="Decreasing but stable",L6&gt;=12,L6&lt;24,M13="Yes",O129="No"),(C126+C130)/(M29+12),IF(AND( C11="Paystub and W-2(s)",C13="Variable",H20&gt;1,C40&gt;0,AD46="Decreasing",L6&gt;=12,L6&lt;24),C126/M29,IF(AND(C11="WVOE/VOI",M130="Increasing",L6&gt;=12,L6&lt;24,L13="Yes"),(C127+C128)/(X32+M29),IF(AND(C11="WVOE/VOI",M130="Increasing",L6&gt;=12,L6&lt;24,M13="Yes"),(C127+C128)/(12+M29),IF(AND(C11="WVOE/VOI",M130="Decreasing",L6&gt;=12,L6&lt;24),M126,IF(AND(C11="WVOE/VOI",M130="Decreasing but stable",L6&gt;=12,L6&lt;24,M13="Yes",O129="No"),(C127+C128)/(12+M29),IF(AND(L6&lt;12,M133= "Current Employer only: Decreasing",N13="No"),C127/M29,IF(AND(L6&lt;12,M133= "Current Employer only: Decreasing",N13="Yes"),C127/X32,IF(AND(L6&lt;12,M133= "Current Employer Only: Increasing",N13="Yes"),C127/X32,IF(AND(L6&lt;12,M133= "Current Employer Only: Increasing",N13="No"),(C127+C128)/(X32+M29),IF(AND(L6&lt;12,M133 = "Combined: Increasing",N13="Yes"), (C127 + C70 + C71)/ (12+M29),IF(AND(L6&lt;12,M133 = "Combined: Increasing",N13="No"), (C127 + C128 + C71)/ (12+M29),IF(AND(L6&lt;12,M133 = "Combined: Decreasing",N13="Yes"), (C127 + C70)/M29,IF(AND(L6&lt;12,M133 = "Combined: Decreasing",N13="No"), C127/M29,IF(AND(L6&gt;=12,M130="Decreasing"),M126,0)))))))))))))))))))))))))))))))))))))))))))))))))))))))</f>
        <v>0</v>
      </c>
      <c r="N131" s="10" t="s">
        <v>346</v>
      </c>
      <c r="O131" s="24" t="str">
        <f ca="1">IF(AND(C11="Paystub and W-2(s)",C126=""),"",IF(AND(C11="Paystub and W-2(s)",C130=""),"",IF(AND(C11="WVOE/VOI",C127=""),"",IF(AND(C11="WVOE/VOI",C128=""),"",IF(AND(C11="Paystub and W-2(s)",L6&gt;=24),(C126+C130+C131)/(M29+24),IF(AND(C11="WVOE/VOI",L6&gt;=24,M13="Yes"),(C127+C128+C129)/(12+X32+M29),IF(AND(C11="WVOE/VOI",L6&gt;=24),(C127+C128+C129)/(24+M29),IF(AND(C11="Paystub and W-2(s)",L6&gt;=12,L6&lt;24,X26=(YEAR(C6)-2)),(C126+C130+C131)/(M29+12+X32),IF(AND(C11="WVOE/VOI",L6&gt;=12,L6&lt;24,X26=(YEAR(C6)-2)),(C127+C128+C129)/(M29+12+X32),IF(AND(L6&lt;12,N13="Yes"),(C127+C71+C72+C70)/(24+M29),IF(AND(L6&lt;12,N13="No"),(C127+C128+C71+C72)/(24+M29),"Not accounted for")))))))))))</f>
        <v>Not accounted for</v>
      </c>
    </row>
    <row r="132" spans="2:22" hidden="1">
      <c r="B132" s="90" t="s">
        <v>428</v>
      </c>
      <c r="C132" s="115">
        <f ca="1">IF(AND(C11="Paystub and W-2(s)",L6&gt;=12,L6&lt;24,C126=""),0,IF(AND(C11="Paystub and W-2(s)",L6&gt;=12,L6&lt;24,C130=""),0,IF(AND(L6&lt;12,N13="Yes",C70=""),0,IF(AND(L6&lt;12,C71=""),0,IF(AND(C11="WVOE/VOI",L6&gt;=12,L6&lt;24,C127=""),0,IF(AND(C11="WVOE/VOI",L6&gt;=12,L6&lt;24,C128=""),0,IF(AND(C11="WVOE/VOI",L6&gt;=12,L6&lt;24,C129="",L13="No"),0,IF(AND(C11="WVOE/VOI",L6&gt;=24,C127=""),0,IF(AND(C13="Salary",L6&gt;=12,AC49="No"),0,IF(AND(C11="WVOE/VOI",L6&gt;=24,C128=""),0,IF(AND(C11="WVOE/VOI",L6&gt;=24,C129=""),0,IF(AND(C9="LPA ",C11="WVOE/VOI",L6&lt;12,M132&gt;10,V129&gt;V128,M128&gt;M126),O132,IF(AND(C9="LPA ",C11="WVOE/VOI",L6&lt;12,M132&gt;10,V129&lt;V128,M128&gt;M126),M126,IF(AND(C9="LPA ",C11="WVOE/VOI",L6&lt;12,M132&gt;10,M128&lt;M126,C133="No"),M128,IF(AND(C9="LPA ",C11="WVOE/VOI",L6&lt;12,M132&gt;10,M128&lt;M126,C133="Select One:"),M128,IF(AND(C9="LPA ",C11="WVOE/VOI",L6&lt;12,M132&gt;10,M128&lt;M126,C133="Yes"),O130,IF(AND(C9="LPA ",M132&gt;10,C11="WVOE/VOI",C133="No",C15="Yes",M130&lt;&gt;"Decreasing"),M128,IF(AND(C9="LPA ",M132&gt;10,C11="WVOE/VOI",C133="No",C15="Yes",M130="Decreasing"),M126,IF(AND(C9="LPA ",M132&gt;10,C11="WVOE/VOI",C133="Select One:",C15="Yes",M130&lt;&gt;"Decreasing"),M128,IF(AND(C9="LPA ",M132&gt;10,C11="WVOE/VOI",C133="Select One:",C15="Yes",M130="Decreasing"),M126,IF(AND(C9="LPA ",M132&gt;10,C11="WVOE/VOI",C133="Yes",C15="Yes",M130&lt;&gt;"Decreasing"),O130,IF(AND(C9="LPA ",M132&gt;10,C11="WVOE/VOI",C133="Yes",C15="Yes",M130="Decreasing"),M126,IF(AND(C9="LPA ",V40&gt;10,C11="Paystub and W-2(s)",C45="No",C15="Yes",M130&lt;&gt;"Decreasing"),M128,IF(AND(C9="LPA ",V40&gt;10,C11="Paystub and W-2(s)",C45="No",C15="Yes",M130="Decreasing"),M126,IF(AND(C9="LPA ",V40&gt;10,C11="Paystub and W-2(s)",C45="Select One:",C15="Yes",M130&lt;&gt;"Decreasing"),M128,IF(AND(C9="LPA ",V40&gt;10,C11="Paystub and W-2(s)",C45="Select One:",C15="Yes",M130="Decreasing"),M126,IF(AND(C9="LPA ",V40&gt;10,C11="Paystub and W-2(s)",C45="Yes",C15="Yes",M130&lt;&gt;"Decreasing"),O130,IF(AND(C9="LPA ",V40&gt;10,C11="Paystub and W-2(s)",C45="Yes",C15="Yes",M130="Decreasing"),M126,IF(AND(L6&gt;=12,C15="Yes"),M131,IF(AND(C11="WVOE/VOI",L6&lt;12),M131,0))))))))))))))))))))))))))))))</f>
        <v>0</v>
      </c>
      <c r="D132" s="26"/>
      <c r="F132" s="285"/>
      <c r="H132" s="11"/>
      <c r="L132" s="10" t="s">
        <v>297</v>
      </c>
      <c r="M132" s="22" t="str">
        <f ca="1">IF(M126=0,"",IF(AND(C11="WVOE/VOI",C127=""),"",IF(AND(C11="WVOE/VOI",C128="",L6&gt;=12),"",IF(AND(C11="WVOE/VOI",C127=""),"",IF(C19="No","",IF(C19="Select One:","",IF(AND(C11="Paystub and W-2(s)",M126=""),"",IF(AND(C11="Paystub and W-2(s)",M128=""),"",ABS(ROUND(((M126/M128)-1)*100,2))))))))))</f>
        <v/>
      </c>
      <c r="N132" s="10" t="s">
        <v>429</v>
      </c>
      <c r="O132" s="24" t="b">
        <f ca="1">IF(AND(L6&lt;12,C127=""),"",IF(AND(L6&lt;12,N13="Yes"),C127/X32,IF(AND(L6&lt;12,N13="No"),C127/M29)))</f>
        <v>0</v>
      </c>
      <c r="P132" s="10" t="str">
        <f>IF(M24="","",M24 - 1 &amp;" "&amp;"amount"&amp;" of"&amp;" OT" &amp;" from"&amp;" WVOE")</f>
        <v/>
      </c>
      <c r="R132" s="10" t="s">
        <v>430</v>
      </c>
      <c r="S132" s="22">
        <f>IF(C11="Paystub and W-2(s)",AH40,IF(C11="WVOE/VOI",(C128/X32)*12,0))</f>
        <v>0</v>
      </c>
    </row>
    <row r="133" spans="2:22" hidden="1">
      <c r="B133" s="87" t="s">
        <v>334</v>
      </c>
      <c r="C133" s="101" t="s">
        <v>226</v>
      </c>
      <c r="F133" s="285"/>
      <c r="H133" s="11"/>
      <c r="L133" s="10" t="s">
        <v>431</v>
      </c>
      <c r="M133" s="24" t="str">
        <f ca="1">IF(AND(L6&lt;12, C127=""),"",IF(V129 = "Not accounted for","",IF(V128="Not accounted for","",IF(AND(V129&gt;=V128,V130&gt;=M126),"Current Employer only: Decreasing",IF(AND(V129&gt;=V128,V130&lt;M126),"Current Employer Only: Increasing",IF(AND(V129&lt;V128, M128&lt;M126),"Combined: Increasing",IF(AND(V129&lt;V128,M128&gt;=M126),"Combined: Decreasing","Not accounted for")))))))</f>
        <v/>
      </c>
      <c r="O133" s="24"/>
      <c r="P133" s="10" t="str">
        <f>IF(M24="","",M24 - 2 &amp;" "&amp;"amount"&amp;" of"&amp;" OT" &amp;" from"&amp;" WVOE")</f>
        <v/>
      </c>
      <c r="R133" s="10" t="s">
        <v>432</v>
      </c>
      <c r="S133" s="19" t="str">
        <f ca="1">AJ40</f>
        <v/>
      </c>
    </row>
    <row r="134" spans="2:22" ht="15" hidden="1" customHeight="1">
      <c r="B134" s="286" t="str">
        <f ca="1">IF(AND(C11="Paystub and W-2(s)",C13="Salary",AC49="No",C19="Yes"),"Cannot back into the W-2's. See summary page for more details",IF(S127="","",IF(S127&lt;-50,"The YTD has decreased"&amp;" "&amp;ROUND(ABS(S127),2)&amp;"%"&amp;" "&amp;"from last year's w-2 average. Condition for docuemntation to explain this decline",IF(AND( H20&gt;2,AD46="decreasing"),"Condition out for a WVOE as the total income is declining",IF(S127&gt;50,"The YTD has increased"&amp;" "&amp;ROUND(S127,2)&amp;"%"&amp;" "&amp;"over last year's w-2 average. Verify that the increase in income is documented and supported","Okay to Proceed, See Summary tab for full breakdown")))))</f>
        <v/>
      </c>
      <c r="C134" s="286"/>
      <c r="F134" s="285"/>
      <c r="L134" s="11"/>
      <c r="M134" s="24"/>
      <c r="O134" s="24"/>
    </row>
    <row r="135" spans="2:22" ht="27" hidden="1" customHeight="1">
      <c r="B135" s="286"/>
      <c r="C135" s="286"/>
      <c r="F135" s="285"/>
      <c r="M135" s="22"/>
      <c r="O135" s="22"/>
    </row>
    <row r="136" spans="2:22" hidden="1">
      <c r="B136" s="17"/>
      <c r="C136" s="17"/>
      <c r="F136" s="285"/>
      <c r="M136" s="22"/>
      <c r="O136" s="24"/>
    </row>
    <row r="137" spans="2:22" hidden="1">
      <c r="B137" s="17"/>
      <c r="C137" s="17"/>
      <c r="F137" s="285"/>
      <c r="M137" s="22"/>
      <c r="O137" s="22"/>
    </row>
    <row r="138" spans="2:22" hidden="1">
      <c r="B138" s="280" t="s">
        <v>433</v>
      </c>
      <c r="C138" s="280"/>
      <c r="F138" s="285"/>
      <c r="M138" s="22"/>
    </row>
    <row r="139" spans="2:22" hidden="1">
      <c r="B139" s="280"/>
      <c r="C139" s="280"/>
      <c r="F139" s="285"/>
      <c r="L139" s="11"/>
      <c r="M139" s="22"/>
    </row>
    <row r="140" spans="2:22" hidden="1">
      <c r="B140" s="281"/>
      <c r="C140" s="281"/>
      <c r="F140" s="285"/>
      <c r="M140" s="22"/>
      <c r="O140" s="22"/>
    </row>
    <row r="141" spans="2:22" hidden="1">
      <c r="B141" s="89" t="s">
        <v>309</v>
      </c>
      <c r="C141" s="96" t="str">
        <f>IF(C41 = "","",C41)</f>
        <v/>
      </c>
      <c r="F141" s="285"/>
      <c r="L141" s="10" t="s">
        <v>434</v>
      </c>
      <c r="M141" s="24">
        <f>IF(C20 = "Select One:",0,IF(AND(C11 = "Paystub and W-2(s)",C141 = ""),0,IF(AND(C11="WVOE/VOI",C142=""),0,IF(AND(C11 = "Paystub and W-2(s)", C20 = "Yes, Average",L6&gt;=12), C141/M29,IF(AND(C11="WVOE/VOI",C20 = "Yes, Average",L6&gt;=12),C142/M29,IF(AND(C11="Paystub and W-2(s)",C20 = "Yes, Average",L6&lt;12, N13="Yes"),(C141+C73)/M29,IF(AND(C11="Paystub and W-2(s)",C20 = "Yes, Average",L6&lt;12, N13="No"),C141/M29,IF(AND(C11="WVOE/VOI",C20 = "Yes, Average",L6&lt;12,N13="Yes"),(C142+C73)/M29,IF(AND(C11="WVOE/VOI",C20 = "Yes, Average",L6&lt;12,N13="No"),C142/M29,IF(AND(C11 = "Paystub and W-2(s)", C20 = "Yes, Annual",L6&gt;=12), C141/12,IF(AND(C11="WVOE/VOI",C20 = "Yes, Annual",L6&gt;=12),C142/12,IF(AND(C11="Paystub and W-2(s)",C20 = "Yes, Annual",L6&lt;12, N13="Yes"),(C141+C73)/12,IF(AND(C11="Paystub and W-2(s)",C20 = "Yes, Annual",L6&lt;12, N13="No"),C141/12,IF(AND(C11="WVOE/VOI",C20 = "Yes, Annual",L6&lt;12,N13="Yes"),(C142+C73)/12,IF(AND(C11="WVOE/VOI",C20 = "Yes, Annual",L6&lt;12,N13="No"),C142/12,0)))))))))))))))</f>
        <v>0</v>
      </c>
      <c r="N141" s="10" t="s">
        <v>291</v>
      </c>
      <c r="O141" s="24" t="str">
        <f ca="1">IF(M144=0,"",IF(AND(C11="Paystub and W-2(s)",L6&gt;=24),(C145+C146)/2,IF(AND(C11="WVOE/VOI",L6&gt;=24),(C143+C144)/2,IF(AND(C11="Paystub and W-2(s)",L6&gt;=12,L6&lt;24,X26=(YEAR(C6)-1)),(AH41+C146)/2,IF(AND(C11="WVOE/VOI",L6&gt;=12,L6&lt;24,X26=(YEAR(C6)-1)),(AH41+C144)/2,IF(AND(C11="Paystub and W-2(s)",L6&gt;=12,L6&lt;24,X26=(YEAR(C6)-2)),(AJ41+C145)/2,IF(AND(C11="WVOE/VOI",L6&gt;=12,L6&lt;24,M13="Yes",C20="Yes, Annual"),(C144+C143)/2,IF(AND(C11="WVOE/VOI",L6&gt;=12,L6&lt;24,M13="Yes",C20="Yes, Average"),(((C144/X32)*12)+C143)/2,IF(AND(L6&lt;12,N13="Yes"),(C74+C75)/2,IF(AND(L6&lt;12,N13="No"),(C74+C75+C143)/2,"Not accounted for"))))))))))</f>
        <v/>
      </c>
    </row>
    <row r="142" spans="2:22" hidden="1">
      <c r="B142" s="89" t="s">
        <v>435</v>
      </c>
      <c r="C142" s="88"/>
      <c r="F142" s="285"/>
      <c r="M142" s="22"/>
      <c r="O142" s="22"/>
      <c r="P142" s="11" t="s">
        <v>420</v>
      </c>
      <c r="R142" s="11" t="s">
        <v>436</v>
      </c>
      <c r="S142" s="10" t="str">
        <f ca="1">IF(AND(C11="Paystub and W-2(s)",C13="Salary",AC49="No"),"",IF(AND(L6&gt;=24,C11="WVOE/VOI",C143=""),"",IF(AND(C142="",C11="WVOE/VOI"),"",IF(AND(C141="",C11="Paystub and W-2(s)"),"",IF(AND(C11="Paystub and W-2(s)",L6&gt;=24),ROUND((O143-C145)/C145*100,2),IF(AND(C11="WVOE/VOI",L6&gt;=24),ROUND((O143-C143)/C143*100,2),IF(AND(C11="Paystub and W-2(s)",L6&gt;=12,L6&lt;24,X26=(YEAR(C6)-1)),ROUND((O143-S146)/S146*100,2),IF(AND(C11="Paystub and W-2(s)",L6&gt;=12,L6&lt;24,X26=(YEAR(C6)-2)),ROUND((O143-C145)/C145*100,2),IF(AND(C11="WVOE/VOI",L6&gt;=12,L6&lt;24,X26=(YEAR(C6)-1)),ROUND((O143-S146)/S146*100,2),IF(AND(C11="WVOE/VOI",L6&gt;=12,L6&lt;24,X26=(YEAR(C6)-2)),ROUND((O143-C143)/C143*100,2),IF(AND(L6&lt;12,N13="No"),ROUND((O143-(((C143+C74)/X32)*12))/(((C143+C74)/X32)*12)*100,2),IF(AND(L6&lt;12,N13="Yes"),ROUND(((O143-C74)/C74)*100,2),""))))))))))))</f>
        <v/>
      </c>
      <c r="U142" s="10" t="s">
        <v>422</v>
      </c>
    </row>
    <row r="143" spans="2:22" hidden="1">
      <c r="B143" s="89" t="str">
        <f>P146</f>
        <v/>
      </c>
      <c r="C143" s="83"/>
      <c r="F143" s="285"/>
      <c r="G143" s="11"/>
      <c r="L143" s="10" t="s">
        <v>437</v>
      </c>
      <c r="M143" s="24">
        <f ca="1">IF(AND(C11="WVOE/VOI",L6&gt;=24,C143=""),0,IF(AND(C11="Paystub and W-2(s)",L6&gt;=24),C145/12,IF(AND(C11="WVOE/VOI",L6&gt;=24),C143/12,IF(AND(C11="Paystub and W-2(s)",L6&gt;=12,L6&lt;24,X26=(YEAR(C6)-1),C20 = "Yes, Average"),C145/X32,IF(AND(C11="Paystub and W-2(s)",L6&gt;=12,L6&lt;24,X26=(YEAR(C6)-1),C20 = "Yes, Annual"),C145/12,IF(AND(C11="WVOE/VOI",L6&gt;=12,L6&lt;24,X26=(YEAR(C6)-1),C20 = "Yes, Average"),C143/X32,IF(AND(C11="WVOE/VOI",L6&gt;=12,L6&lt;24,X26=(YEAR(C6)-1),C20 = "Yes, Annual"),C143/12,IF(AND(C11="Paystub and W-2(s)",L6&gt;=12,L6&lt;24,X26=(YEAR(C6)-2)),C145/12,IF(AND(C11="WVOE/VOI",L6&gt;=12,L6&lt;24,X26=(YEAR(C6)-2)),C143/12,IF(AND(L6&lt;12,N13="Yes"),C74/12,IF(AND(L6&lt;12,N13="No"),(C74+C143)/12,0)))))))))))</f>
        <v>0</v>
      </c>
      <c r="N143" s="10" t="s">
        <v>298</v>
      </c>
      <c r="O143" s="24">
        <f>IF(C20 = "Select One:",0,IF(AND(C11 = "Paystub and W-2(s)",C141 = ""),0,IF(AND(C11="WVOE/VOI",C142=""),0,IF(AND(C11 = "Paystub and W-2(s)", C20 = "Yes, Average",L6&gt;=12), ROUND((C141/M29)*12,2),IF(AND(C11="WVOE/VOI",C20 = "Yes, Average",L6&gt;=12),ROUND((C142/M29)*12,2),IF(AND(C11="Paystub and W-2(s)",C20 = "Yes, Average",L6&lt;12, N13="Yes"),ROUND(((C141+C73)/M29)*12,2),IF(AND(C11="Paystub and W-2(s)",C20 = "Yes, Average",L6&lt;12, N13="No"),ROUND((C141/M29)*12,2),IF(AND(C11="WVOE/VOI",C20 = "Yes, Average",L6&lt;12,N13="Yes"),ROUND(((C142+C73)/M29)*12,2),IF(AND(C11="WVOE/VOI",C20 = "Yes, Average",L6&lt;12,N13="No"),ROUND((C142/M29)*12,2),IF(AND(C11 = "Paystub and W-2(s)", C20 = "Yes, Annual",L6&gt;=12), ROUND((C141/12)*12,2),IF(AND(C11="WVOE/VOI",C20 = "Yes, Annual",L6&gt;=12),ROUND((C142/12)*12,2),IF(AND(C11="Paystub and W-2(s)",C20 = "Yes, Annual",L6&lt;12, N13="Yes"),ROUND(((C141+C73)/12)*12,2),IF(AND(C11="Paystub and W-2(s)",C20 = "Yes, Annual",L6&lt;12, N13="No"),ROUND((C141/12)*12,2),IF(AND(C11="WVOE/VOI",C20 = "Yes, Annual",L6&lt;12,N13="Yes"),ROUND(((C142+C73)/12)*12,2),IF(AND(C11="WVOE/VOI",C20 = "Yes, Annual",L6&lt;12,N13="No"),ROUND((C142/12)*12,2),0)))))))))))))))</f>
        <v>0</v>
      </c>
      <c r="P143" s="10" t="str">
        <f>IF(M24="","",M24 - 1 &amp;" "&amp;"amount"&amp;" of"&amp;" Bonus" &amp;" from"&amp;" W-2")</f>
        <v/>
      </c>
      <c r="U143" s="10" t="s">
        <v>424</v>
      </c>
      <c r="V143" s="19">
        <f ca="1">IF(AND(C20="Yes, Average",L6&lt;12,N13="Yes"),C142/X32,IF(AND(C20="Yes, Annual",L6&lt;12,N13="Yes"),C142/12,IF(AND(C20="Yes, Average",L6&lt;12,N13="No"),(C142+C143)/(X32+M29),IF(AND(C20="Yes, Annual",L6&lt;12,N13="No"),(C142+C143)/24,0))))</f>
        <v>0</v>
      </c>
    </row>
    <row r="144" spans="2:22" hidden="1">
      <c r="B144" s="89" t="str">
        <f>P147</f>
        <v/>
      </c>
      <c r="C144" s="85"/>
      <c r="F144" s="285"/>
      <c r="G144" s="11"/>
      <c r="L144" s="10" t="s">
        <v>438</v>
      </c>
      <c r="M144" s="24">
        <f ca="1">IF(AND(C11="WVOE/VOI",L6&gt;=24,C144=""),0,IF(AND(C11="Paystub and W-2(s)", L6&gt;=24),C146/12,IF(AND(C11="WVOE/VOI",L6&gt;=24),C144/12,IF(AND(C11="Paystub and W-2(s)",L6&gt;=12,L6&lt;24,X26=(YEAR(C6)-2),C20 = "Yes, Average"),C146/X32,IF(AND(C11="Paystub and W-2(s)",L6&gt;=12,L6&lt;24,X26=(YEAR(C6)-2),C20 = "Yes, Annual"),C146/12,IF(AND(C11="WVOE/VOI",L6&gt;=12,L6&lt;24,X26=(YEAR(C6)-2),C20 = "Yes, Average"),C144/X32,IF(AND(C11="WVOE/VOI",L6&gt;=12,L6&lt;24,X26=(YEAR(C6)-2),C20 = "Yes, Annual"),C144/12,IF(L6&lt;12,C75/12,0))))))))</f>
        <v>0</v>
      </c>
      <c r="N144" s="10" t="s">
        <v>328</v>
      </c>
      <c r="O144" s="22" t="str">
        <f ca="1">IF(O143&gt;=O141,"Yes","No")</f>
        <v>No</v>
      </c>
      <c r="P144" s="10" t="str">
        <f>IF(M24="","",M24 - 2 &amp;" "&amp;"amount"&amp;" of"&amp;" Bonus" &amp;" from"&amp;" W-2")</f>
        <v/>
      </c>
      <c r="U144" s="10" t="s">
        <v>426</v>
      </c>
      <c r="V144" s="19">
        <f ca="1">IF(AND(L6&lt;12,N13="Yes"),C74/12,IF(AND(C20="Yes,Average",L6&lt;12,N13="No"),C74/(12-X32),IF(AND(C20="Yes,Annual",L6&lt;12,N13="No"),C74/12,0)))</f>
        <v>0</v>
      </c>
    </row>
    <row r="145" spans="2:22" hidden="1">
      <c r="B145" s="89" t="str">
        <f>P143</f>
        <v/>
      </c>
      <c r="C145" s="96">
        <f>IF(C37="",0,IF(AND(C13="Variable",AD41=""),0,IF(AND(C13="Salary",AI53=0),0,IF(AND(C13="Salary",AI53&gt;0),AI53,IF(C13="Variable",AD41,0)))))</f>
        <v>0</v>
      </c>
      <c r="F145" s="285"/>
      <c r="L145" s="10" t="s">
        <v>383</v>
      </c>
      <c r="M145" s="22" t="str">
        <f ca="1">IF(AND(C11="Paystub and W-2(s)",C141 = ""),"",IF(AND(L6&gt;=24,C11="WVOE/VOI",C142="",C143="",C144 = ""),"",IF(AND(L6&gt;=24,C11="WVOE/VOI",C142=""),"",IF(AND(L6&gt;=24,C11="WVOE/VOI",C143=""),"",IF(AND(L6&gt;=24,C11="WVOE/VOI",C144=""),"",IF(AND(L6&gt;=12,M144 &lt;=M143,M143 &lt;=M141),"Increasing",IF(AND(L6&gt;=12,M144 &gt;M143,M143 &gt;M141),"Decreasing",IF(AND(L6&gt;=12,M144 &gt;M143,M143 &lt;=M141),"Decreasing but stable",IF(AND(L6&gt;=12,M144 &lt;=M143,M143 &gt;M141),"Decreasing",IF(AND(L6&gt;=12,M144 &gt;M143,M143 &gt;M141),"Decreasing",IF(AND(L6&lt;12,M144&gt;M143,M143&gt;M141),"Decreasing",IF(AND(L6&lt;12,M144&lt;=M143,M143&gt;M141),"Decreasing",IF(AND(L6&gt;=12,M143 &gt;M141),"Decreasing",IF(AND(L6&lt;12,M143&lt;=M141),"Increasing",IF(AND(L6&gt;=12,M143 &lt;=M141),"Increasing","")))))))))))))))</f>
        <v>Increasing</v>
      </c>
      <c r="N145" s="10" t="s">
        <v>340</v>
      </c>
      <c r="O145" s="24">
        <f ca="1">IF(AND(C11="Paystub and W-2(s)",C141 = ""),"",IF(AND(C11="WVOE/VOI",C142="",""),"",IF(AND(C11="WVOE/VOI",C20 = "Yes, Average",L6&gt;=24),(C143+C142)/(12+M29),IF(AND(C11="WVOE/VOI",C20 = "Yes, Average",L6&gt;=24),(C143+C142)/(12+M29),IF(AND(C11="Paystub and W-2(s)",C20 = "Yes, Average",L6&gt;=12,L6&lt;24,X26=(YEAR(C6)-1)),(C145+C141)/(X32+M29),IF(AND(C11="WVOE/VOI",C20 = "Yes, Average",L6&gt;=12,L6&lt;24,X26=(YEAR(C6)-1)),(C143+C142)/(X32+M29),IF(AND(C11="Paystub and W-2(s)",C20 = "Yes, Average",L6&gt;=12,L6&lt;24,X26=(YEAR(C6)-2)),(C145+C141)/(12+M29),IF(AND(C11="WVOE/VOI",C20 = "Yes, Average",L6&gt;=12,L6&lt;24,X26=(YEAR(C6)-2)),(C143+C142)/(12+M29),IF(AND(C20 = "Yes, Average",L6&lt;12,N13="Yes"),(C142+C74+C73)/(M29+12),IF(AND(C20 = "Yes, Average",L6&lt;12,N13="No"),(C142+C143+C74)/(12+M29),IF(AND(C11="Paystub and W-2(s)",C20 = "Yes, Annual",L6&gt;=24),(C145+C141)/24,IF(AND(C11="WVOE/VOI",C20 = "Yes, Annual",L6&gt;=24),(C143+C142)/24,IF(AND(C11="Paystub and W-2(s)",C20 = "Yes, Annual",L6&gt;=12,L6&lt;24,X26=(YEAR(C6)-1)),(C145+C141)/24,IF(AND(C11="WVOE/VOI",C20 = "Yes, Annual",L6&gt;=12,L6&lt;24,X26=(YEAR(C6)-1)),(C143+C142)/24,IF(AND(C11="Paystub and W-2(s)",C20 = "Yes, Annual",L6&gt;=12,L6&lt;24,X26=(YEAR(C6)-2)),(C145+C141)/24,IF(AND(C11="WVOE/VOI",C20 = "Yes, Annual",L6&gt;=12,L6&lt;24,X26=(YEAR(C6)-2)),(C143+C142)/24,IF(AND(C20 = "Yes, Annual",L6&lt;12,N13="Yes"),(C142+C74+C73)/24,IF(AND(C20 = "Yes, Annual",L6&lt;12,N13="No"),(C142+C143+C74)/24,IF(AND(C11="Paystub and W-2(s)",C20 = "Yes, Average",L6&gt;=24),(C141+C145)/24,IF(AND(C11="Paystub and W-2(s)",C20 = "Yes, Average",L6&gt;=24,M13="Yes"),(C145+C141)/(12+X32),IF(AND(C11="WVOE/VOI",C20 = "Yes, Average",L6&gt;=24,M13="Yes"),(C142+C143)/(12+X32),IF(AND(C11="Paystub and W-2(s)",C20 = "Yes, Average",L6&gt;=24),(C142+C143)/24,0))))))))))))))))))))))</f>
        <v>0</v>
      </c>
      <c r="U145" s="10" t="s">
        <v>427</v>
      </c>
      <c r="V145" s="19">
        <f ca="1">IF(AND(L6&lt;12,N13="No"),C143/X32,C143/12)</f>
        <v>0</v>
      </c>
    </row>
    <row r="146" spans="2:22" hidden="1">
      <c r="B146" s="89" t="str">
        <f>P144</f>
        <v/>
      </c>
      <c r="C146" s="97">
        <f>IF(C38="",0,IF(AND(C13="Variable",AF41 = ""),0,IF(AND(C13="Salary",AJ53=0),0,IF(AND(AJ53&gt;0,C13="Salary"),AJ53,IF(C13="Variable",AF41,0)))))</f>
        <v>0</v>
      </c>
      <c r="F146" s="285"/>
      <c r="G146" s="11"/>
      <c r="L146" s="10" t="s">
        <v>439</v>
      </c>
      <c r="M146" s="24">
        <f>IF(C11="Select One:",0,IF(C20&lt;&gt;"Yes, Average",0,IF(AND(C11="Paystub and W-2(s)",C20 = "Yes, Average",H20=1,C41&gt;0,M145="Increasing",L6&gt;=24),(C141+C145)/(12+M29),IF(AND(L6&gt;=24,M13="Yes",C11="Paystub and W-2(s)",C20 = "Yes, Average",H20=1,C41&gt;0,M145="Decreasing but stable",O144="Yes",O146&gt;=O145),(C141+C145+C146)/(12+X32+M29),IF(AND(L6&gt;=24,M13="Yes",C11="Paystub and W-2(s)",C20 = "Yes, Average",H20=1,C41&gt;0,M145="Decreasing but stable",O144="Yes",O146&lt;O145),(C141+C145)/(12+M29),IF(AND(L6&gt;=24,M13="Yes",C11="Paystub and W-2(s)",C20 = "Yes, Average",H20=1,C41&gt;0,M145="Decreasing but stable",O144="No"),(C141+C145)/(12+M29),IF(AND(L6&gt;=24,M13="No",C11="Paystub and W-2(s)",C20 = "Yes, Average",H20=1,C41&gt;0,M145="Decreasing but stable",O144="Yes",O146&gt;=O145),(C141+C145+C146)/(24+M29),IF(AND(L6&gt;=24,M13="No",C11="Paystub and W-2(s)",C20 = "Yes, Average",H20=1,C41&gt;0,M145="Decreasing but stable",O144="Yes",O146&lt;O145),(C141+C145)/(12+M29),IF(AND(L6&gt;=24,M13="No",C11="Paystub and W-2(s)",C20 = "Yes, Average",H20=1,C41&gt;0,M145="Decreasing but stable",O144="No"),(C141+C145)/(12+M29),IF(AND(C11="Paystub and W-2(s)",C20 = "Yes, Average",H20=1,C41&gt;0,M145="Decreasing",L6&gt;=24),M141,IF(AND(C11="Paystub and W-2(s)",C20 = "Yes, Average",H20&gt;1,C41&gt;0,AD46="Increasing",M145="Increasing",L6&gt;=24),(C141+C145)/(12+M29),IF(AND(L6&gt;=24,M13="Yes",C11="Paystub and W-2(s)",C20 = "Yes, Average",H20&gt;1,C41&gt;0,AD46="Increasing",M145="Decreasing but stable",O144="Yes",O146&gt;=O145),(C141+C145+C146)/(24+M29),IF(AND(L6&gt;=24,M13="Yes",C11="Paystub and W-2(s)",C20 = "Yes, Average",H20&gt;1,C41&gt;0,AD46="Increasing",M145="Decreasing but stable",O144="Yes",O146&lt;O145),(C141+C145)/(12+M29),IF(AND(L6&gt;=24,M13="Yes",C11="Paystub and W-2(s)",C20 = "Yes, Average",H20&gt;1,C41&gt;0,AD46="Increasing",M145="Decreasing but stable",O144="No"),(C141+C145)/(12+M29),IF(AND(L6&gt;=24,M13="No",C11="Paystub and W-2(s)",C20 = "Yes, Average",H20&gt;1,C41&gt;0,AD46="Increasing",M145="Decreasing but stable",O144="Yes",O146&gt;=O145),(C141+C145+C146)/(24+M29),IF(AND(L6&gt;=24,M13="No",C11="Paystub and W-2(s)",C20 = "Yes, Average",H20&gt;1,C41&gt;0,AD46="Increasing",M145="Decreasing but stable",O144="Yes",O146&lt;O145),(C141+C145)/(12+M29),IF(AND(L6&gt;=24,M13="No",C11="Paystub and W-2(s)",C20 = "Yes, Average",H20&gt;1,C41&gt;0,AD46="Increasing",M145="Decreasing but stable",O144="No"),(C141+C145)/(12+M29),IF(AND(C11="Paystub and W-2(s)",C20 = "Yes, Average",H20&gt;1,C41&gt;0,AD46="Increasing",M145="Decreasing",L6&gt;=24),M141,IF(AND(C11="Paystub and W-2(s)",C20 = "Yes, Average",H20&gt;1,C41&gt;0,AD46="Decreasing",L6&gt;=24),M141,IF(AND(C11="WVOE/VOI",C20 = "Yes, Average",M145="Increasing",L6&gt;=24),(C142+C143)/(12+M29),IF(AND(C11="WVOE/VOI",C20 = "Yes, Average",M145="Decreasing but stable",L6&gt;=24,M13="Yes",O144="Yes",O146&gt;=O145),(C142+C143+C144)/(12+X32+M29),IF(AND(C11="WVOE/VOI",C20 = "Yes, Average",M145="Decreasing but stable",L6&gt;=24,M13="Yes",O144="Yes",O146&lt;O145),(C142+C143)/(12+M29),IF(AND(C11="WVOE/VOI",C20 = "Yes, Average",M145="Decreasing but stable",L6&gt;=24,M13="Yes",O144="No"),(C142+C143)/(12+M29),IF(AND(C11="WVOE/VOI",C20 = "Yes, Average",M145="Decreasing but stable",L6&gt;=24,M13="No",O144="Yes",O146&gt;=O145),(C142+C143+C144)/(24+M29),IF(AND(C11="WVOE/VOI",C20 = "Yes, Average",M145="Decreasing but stable",L6&gt;=24,M13="No",O144="Yes",O146&lt;O145),(C142+C143)/(12+M29),IF(AND(C11="WVOE/VOI",C20 = "Yes, Average",M145="Decreasing but stable",L6&gt;=24,M13="No",O144="No"),(C142+C143)/(12+M29),IF(AND(C11="WVOE/VOI",C20 = "Yes, Average", M145="Decreasing",L6&gt;=24),M141,IF(AND( C11="Paystub and W-2(s)",C20 = "Yes, Average",H20=1,C41&gt;0,M145="Increasing",L6&gt;=12,L6&lt;24,X26=(YEAR(C6)-1)),(C141+C145)/(M29+X32),IF(AND( C11="Paystub and W-2(s)",C20 = "Yes, Average",H20=1,C41&gt;0,M145="Increasing",L6&gt;=12,L6&lt;24,X26=(YEAR(C6)-2)),(C141+C145)/(M29+12),IF(AND( C11="Paystub and W-2(s)",C20 = "Yes, Average",H20=1,C41&gt;0,M145="Decreasing",L6&gt;=12,L6&lt;24),M141,IF(AND(C11="Paystub and W-2(s)",C20 = "Yes, Average",H20=1,C41&gt;0,M145="Decreasing but stable",L6&gt;=12,L6&lt;24,M13="Yes",O144="Yes",O146&gt;=O145),(C141+C145+C146)/(M29+X32+12),IF(AND(C11="Paystub and W-2(s)",C20 = "Yes, Average",H20=1,C41&gt;0,M145="Decreasing but stable",L6&gt;=12,L6&lt;24,M13="Yes",O144="Yes",O146&lt;O145),(C141+C145)/(M29+12),IF(AND(C11="Paystub and W-2(s)",C20 = "Yes, Average",H20=1,C41&gt;0,M145="Decreasing but stable",L6&gt;=12,L6&lt;24,M13="Yes",O144="No"),(C141+C145)/(M29+12),IF(AND( C11="Paystub and W-2(s)",C20 = "Yes, Average",H20&gt;1,C41&gt;0,AD46="Increasing",M145="Increasing",L6&gt;=12,L6&lt;24,X26=(YEAR(C6)-1)),(C141+C145)/(M29+X32),IF(AND( C11="Paystub and W-2(s)",C20 = "Yes, Average",H20&gt;1,C41&gt;0,AD46="Increasing",M145="Increasing",L6&gt;=12,L6&lt;24,X26=(YEAR(C6)-2)),(C141+C145)/(M29+12),IF(AND(C11="Paystub and W-2(s)",C20 = "Yes, Average",H20&gt;1,C41&gt;0,AD46="Increasing",M145="Decreasing",L6&gt;=12,L6&lt;24),M141,IF(AND(C11="Paystub and W-2(s)",C20 = "Yes, Average",H20&gt;1,C41&gt;0,AD46="Increasing",M145="Decreasing but stable",L6&gt;=12,L6&lt;24,M13="Yes",O144="Yes",O146&gt;=O145),(C141+C145+C146)/(M29+X32+12),IF(AND(C11="Paystub and W-2(s)",C20 = "Yes, Average",H20&gt;1,C41&gt;0,AD46="Increasing",M145="Decreasing but stable",L6&gt;=12,L6&lt;24,M13="Yes",O144="Yes",O146&lt;O145),(C141+C145)/(M29+12),IF(AND(C11="Paystub and W-2(s)",C20 = "Yes, Average",H20&gt;1,C41&gt;0,AD46="Increasing",M145="Decreasing but stable",L6&gt;=12,L6&lt;24,M13="Yes",O144="No"),(C141+C145)/(M29+12),IF(AND( C11="Paystub and W-2(s)",C20 = "Yes, Average",H20&gt;1,C41&gt;0,AD46="Decreasing",L6&gt;=12,L6&lt;24),M141,IF(AND(C11="WVOE/VOI",M145="Increasing",L6&gt;=12,L6&lt;24,X26=(YEAR(C6)-1)),(C142+C143)/(X32+M29),IF(AND(C11="WVOE/VOI",M145="Increasing",C20 = "Yes, Average",L6&gt;=12,L6&lt;24,X26=(YEAR(C6)-2)),(C142+C143)/(12+M29),IF(AND(C9="DU ",C11="WVOE/VOI",M145="Decreasing",C20 = "Yes, Average",L6&gt;=12,L6&lt;24),M141,IF(AND(C11="WVOE/VOI",M145="Decreasing but stable",C20 = "Yes, Average",L6&gt;=12,L6&lt;24,M13="Yes",O144="Yes",O146&gt;=O145),(C142+C143+C144)/(12+X32+M29),IF(AND(C11="WVOE/VOI",M145="Decreasing but stable",C20 = "Yes, Average",L6&gt;=12,L6&lt;24,M13="Yes",O144="Yes",O146&lt;O145),(C142+C143)/(12+M29),IF(AND(C11="WVOE/VOI",M145="Decreasing but stable",C20 = "Yes, Average",L6&gt;=12,L6&lt;24,M13="Yes",O144="No"),(C142+C143)/(12+M29),IF(AND(C20 = "Yes, Average",L6&lt;12,M149= "Current Employer only: Decreasing",N13="No"),C142/M29,IF(AND(C20 = "Yes, Average",L6&lt;12,N13="Yes",M149= "Current Employer only: Decreasing"),C142/X32,IF(AND(C20 = "Yes, Average",L6&lt;12,N13="No",M149= "Current Employer Only: Increasing",N13="Yes"),C142/X32,IF(AND(C20 = "Yes, Average",L6&lt;12,N13="No",M149= "Current Employer Only: Increasing",N13="No"),(C142+C143)/(X32+M29),IF(AND(C20 = "Yes, Average",L6&lt;12,M149 = "Combined: Increasing",N13="Yes"), (C142 + C73 + C74)/ (12+M29),IF(AND(C20 = "Yes, Average",L6&lt;12,M149 = "Combined: Increasing",N13="No"), (C142 + C143 + C74)/ (12+M29),IF(AND(C20 = "Yes, Average",L6&lt;12,M149 = "Combined: Decreasing",N13="Yes"), (C142 + C73)/M29,IF(AND(C20 = "Yes, Average",L6&lt;12,M149 = "Combined: Decreasing",N13="No"), C142/M29,0))))))))))))))))))))))))))))))))))))))))))))))))))))))</f>
        <v>0</v>
      </c>
      <c r="N146" s="10" t="s">
        <v>346</v>
      </c>
      <c r="O146" s="24">
        <f ca="1">IF(AND(C11="Paystub and W-2(s)",C20 = "Yes, Average",L6&gt;=24),(C141+C145+C146)/(M29+24),IF(AND(C11="WVOE/VOI",C20 = "Yes, Average",L6&gt;=24, M13="Yes"),(C142+C143+C144)/(12+X32+M29),IF(AND(C11="WVOE/VOI",C20 = "Yes, Average",L6&gt;=24, M13="No"),(C142+C143+C144)/(24+M29),IF(AND(C11="Paystub and W-2(s)",C20 = "Yes, Average",L6&gt;=12,L6&lt;24,X26=(YEAR(C6)-2)),(C141+C145+C146)/(M29+12+X32),IF(AND(C11="WVOE/VOI",L6&gt;=12,C20 = "Yes, Average",L6&lt;24,X26=(YEAR(C6)-2)),(C142+C143+C144)/(M29+12+X32),IF(AND(L6&lt;12,C20 = "Yes, Average",N13="Yes"),(C142+C74+C75+C73)/(24+M29),IF(AND(L6&lt;12,C20 = "Yes, Average",N13="No"),(C142+C143+C74+C75)/(24+M29),IF(AND(C11="Paystub and W-2(s)",C20 = "Yes, Annual",L6&gt;=24),(C141+C145+C146)/36,IF(AND(C11="WVOE/VOI",C20 = "Yes, Annual",L6&gt;=24),(C142+C143+C144)/36,IF(AND(C11="Paystub and W-2(s)",C20 = "Yes, Annual",L6&gt;=12,L6&lt;24,X26=(YEAR(C6)-2)),(C141+C145+C146)/36,IF(AND(C11="WVOE/VOI",C20 = "Yes, Annual",L6&gt;=12,L6&lt;24,X26=(YEAR(C6)-2)),(C142+C143+C144)/36,IF(AND(L6&lt;12,C20 = "Yes, Annual",N13="Yes"),(C142+C74+C75+C73)/36,IF(AND(L6&lt;12,C20 = "Yes, Annual",N13="No"),(C142+C143+C74+C75)/36,0)))))))))))))</f>
        <v>0</v>
      </c>
      <c r="P146" s="10" t="str">
        <f>IF(M24="","",M24 - 1 &amp;" "&amp;"amount"&amp;" of"&amp;" Bonus" &amp;" from"&amp;" WVOE")</f>
        <v/>
      </c>
      <c r="R146" s="10" t="s">
        <v>440</v>
      </c>
      <c r="S146" s="10" t="str">
        <f>IF(AND(C11="WVOE/VOI",C143=""),"",IF(C11="Paystub and W-2(s)",AH41,IF(C11="WVOE/VOI",(C143/X32)*12,"Not accounted for")))</f>
        <v>Not accounted for</v>
      </c>
    </row>
    <row r="147" spans="2:22" ht="15" hidden="1" customHeight="1">
      <c r="B147" s="90" t="s">
        <v>441</v>
      </c>
      <c r="C147" s="98">
        <f ca="1">IF(AND(C11="Paystub and W-2(s)",L6&gt;=12,L6&lt;24,C141=""),0,IF(AND(C11="Paystub and W-2(s)",L6&gt;=12,L6&lt;24,C145=""),0,IF(AND(C11="WVOE/VOI",L6&gt;=12,L6&lt;24,C142=""),0,IF(AND(C11="WVOE/VOI",L6&gt;=12,L6&lt;24,C143=""),0,IF(AND(C11="WVOE/VOI",L6&gt;=12,L6&lt;24,C144="",),0,IF(AND(C11="WVOE/VOI",L6&gt;=24,C142=""),0,IF(AND(C11="WVOE/VOI",L6&gt;=24,C143=""),0,IF(AND(C11="WVOE/VOI",L6&gt;=24,C144=""),0,IF(AND(C13="Salary",L6&gt;=12,AC49="No"),0,IF(AND(C9="LPA ",L6&lt;12,M148&gt;10,M143&gt;M141,V144&gt;V143),O147,IF(AND(C9="LPA ",L6&lt;12,M148&gt;10,M143&gt;M141,V144&lt;V143),M141,IF(AND(C9="LPA ",L6&lt;12,M148&gt;10,M143&lt;M141,C148="No"),M143,IF(AND(C9="LPA ",L6&lt;12,M148&gt;10,M143&lt;M141,C148="Select One:"),M143,IF(AND(C9="LPA ",L6&lt;12,M148&gt;10,M143&lt;M141,C148="Yes"),O145,IF(AND(C9="LPA ",C11="WVOE/VOI",M148&gt;10,C148="No",C15="Yes",C20="Yes, Average",M145&lt;&gt;"Decreasing"),M143,IF(AND(C9="LPA ",C11="WVOE/VOI",M148&gt;10,C148="Select One:",C15="Yes",C20="Yes, Average",M145&lt;&gt;"Decreasing"),M143,IF(AND(C9="LPA ",C11="WVOE/VOI",M148&gt;10,C148="Yes",C15="Yes",C20="Yes, Average",M145&lt;&gt;"Decreasing"),O145,IF(AND(C9="LPA ",C11="WVOE/VOI",M148&gt;10,C148="No",C15="Yes",C20="Yes, Annual",M145&lt;&gt;"Decreasing"),M143,IF(AND(C9="LPA ",C11="WVOE/VOI",M148&gt;10,C148="Select One:",C15="Yes",C20="Yes, Annual",M145&lt;&gt;"Decreasing"),M143,IF(AND(C9="LPA ",C11="WVOE/VOI",M148&gt;10,C148="Yes",C15="Yes",C20="Yes, Annual",M145&lt;&gt;"Decreasing"),O145,IF(AND(C9="LPA ",C11="Paystub and W-2(s)",V40&gt;10,C45="No",C15="Yes",C20="Yes, Average",M145&lt;&gt;"Decreasing"),M143,IF(AND(C9="LPA ",C11="Paystub and W-2(s)",V40&gt;10,C45="Select One:",C15="Yes",C20="Yes, Average",M145&lt;&gt;"Decreasing"),M143,IF(AND(C9="LPA ",C11="Paystub and W-2(s)",V40&gt;10,C45="Yes",C15="Yes",C20="Yes, Average",M145&lt;&gt;"Decreasing"),O145,IF(AND(C9="LPA ",C11="Paystub and W-2(s)",V40&gt;10,C45="No",C15="Yes",C20="Yes, Annual",M145&lt;&gt;"Decreasing"),M143,IF(AND(C9="LPA ",C11="Paystub and W-2(s)",V40&gt;10,C45="Select One:",C15="Yes",C20="Yes, Annual",M145&lt;&gt;"Decreasing"),M143,IF(AND(C9="LPA ",C11="Paystub and W-2(s)",V40&gt;10,C45="Yes",C15="Yes",C20="Yes, Annual",M145&lt;&gt;"Decreasing"),O145,IF(AND(C9="LPA ",C11="WVOE/VOI",M148&gt;10,C148="Select One:",C15="Yes",C20="Yes, Annual",M145="Decreasing"),M141,IF(AND(C9="LPA ",C11="WVOE/VOI",M148&gt;10,C148="Select One:",C15="Yes",C20="Yes, Annual",M145="Decreasing"),M141,IF(AND(C9="LPA ",C11="Paystub and W-2(s)",V40&gt;10,C45="Select One:",C15="Yes",C20="Yes, Average",M145="Decreasing"),M141,IF(AND(C9="LPA ",C11="WVOE/VOI",M148&gt;10,C148="No",C15="Yes",C20="Yes, Annual",M145="Decreasing"),M141,IF(AND(C9="LPA ",C11="WVOE/VOI",M148&gt;10,C148="No",C15="Yes",C20="Yes, Annual",M145="Decreasing"),M141,IF(AND(C9="LPA ",C11="Paystub and W-2(s)",V40&gt;10,C45="No",C15="Yes",C20="Yes, Average",M145="Decreasing"),M141,IF(AND(C9="LPA ",C11="Paystub and W-2(s)",V40&gt;10,C45="No",C15="Yes",C20="Yes, Annual",M145="Decreasing"),M141,IF(AND(C9="LPA ",C11="WVOE/VOI",M148&gt;10,C148="Yes",C15="Yes",C20="Yes, Annual",M145="Decreasing"),M141,IF(AND(C9="LPA ",C11="WVOE/VOI",M148&gt;10,C148="Yes",C15="Yes",C20="Yes, Annual",M145="Decreasing"),M141,IF(AND(C9="LPA ",C11="Paystub and W-2(s)",V40&gt;10,C45="Yes",C15="Yes",C20="Yes, Average",M145="Decreasing"),M141,IF(AND(C9="LPA ",C11="Paystub and W-2(s)",V40&gt;10,C45="Yes",C15="Yes",C20="Yes, Annual",M145="Decreasing"),M141,IF(AND(L6&gt;=12,C15="Yes",C20="Yes, Average"),M146,IF(AND(L6&lt;12,C20="Yes, Average"),M146,IF(AND(L6&gt;=12,C15="Yes",C20="Yes, Annual"),M147,IF(AND(L6&lt;12,,C20="Yes, Annual"),M147,0)))))))))))))))))))))))))))))))))))))))))</f>
        <v>0</v>
      </c>
      <c r="D147" s="26"/>
      <c r="F147" s="285"/>
      <c r="L147" s="10" t="s">
        <v>442</v>
      </c>
      <c r="M147" s="24">
        <f>IF(C11="Select One:",0,IF(C20&lt;&gt;"Yes, Annual",0,IF(AND(C11="Paystub and W-2(s)",C20 = "Yes, Annual",H20=1,C41&gt;0,M145="Increasing",L6&gt;=24),(C141+C145)/24,IF(AND(L6&gt;=24,C11="Paystub and W-2(s)",C20 = "Yes, Annual",H20=1,C41&gt;0,M145="Decreasing but stable",O144="Yes",O146&gt;=O145),(C141+C145+C146)/36,IF(AND(L6&gt;=24,C11="Paystub and W-2(s)",C20 = "Yes, Annual",H20=1,C41&gt;0,M145="Decreasing but stable",O144="Yes",O146&lt;O145),(C141+C145)/24,IF(AND(L6&gt;=24,C11="Paystub and W-2(s)",C20 = "Yes, Annual",H20=1,C41&gt;0,M145="Decreasing but stable",O144="No"),(C141+C145)/24,IF(AND(C11="Paystub and W-2(s)",C20 = "Yes, Annual",H20=1,C41&gt;0,M145="Decreasing",L6&gt;=24),M141,IF(AND(C11="WVOE/VOI",C20="Yes, Annual",L6&gt;=24,C88="No",C89="No",C143&gt;=C144),(C143+C144)/24,IF(AND(C11="WVOE/VOI",C20="Yes, Annual",L6&gt;=24,C88="No",C89="No",C143&lt;C144),C143/12,IF(AND(C11="Paystub and W-2(s)",C20 = "Yes, Annual",H20&gt;1,C41&gt;0,AD46="Increasing",M145="Increasing",L6&gt;=24),(C141+C145)/(24),IF(AND(L6&gt;=24,C11="Paystub and W-2(s)",C20 = "Yes, Annual",H20&gt;1,C41&gt;0,AD46="Increasing",M145="Decreasing but stable",O144="Yes",O146&gt;=O145),(C141+C145+C146)/36,IF(AND(L6&gt;=24,C11="Paystub and W-2(s)",C20 = "Yes, Annual",H20&gt;1,C41&gt;0,AD46="Increasing",M145="Decreasing but stable",O144="Yes",O146&lt;O145),(C141+C145)/24,IF(AND(L6&gt;=24,C11="Paystub and W-2(s)",C20 = "Yes, Annual",H20&gt;1,C41&gt;0,AD46="Increasing",M145="Decreasing but stable",O144="No"),(C141+C145)/24,IF(AND(C11="Paystub and W-2(s)",C20 = "Yes, Annual",H20&gt;1,C41&gt;0,AD46="Increasing",M145="Decreasing",L6&gt;=24),M141,IF(AND(C11="Paystub and W-2(s)",C20 = "Yes, Annual",H20&gt;1,C41&gt;0,AD46="Decreasing",L6&gt;=24),C141/12,IF(AND(C11="WVOE/VOI",C20 = "Yes, Annual",M145="Increasing",L6&gt;=24),(C142+C143)/24,IF(AND(L6&gt;=24,C11="WVOE/VOI",C20 = "Yes, Annual",M145="Decreasing but stable",O144="Yes",O146&gt;=O145),(C142+C143+C144)/36,IF(AND(L6&gt;=24,C11="WVOE/VOI",C20 = "Yes, Annual",M145="Decreasing but stable",O144="Yes",O146&lt;O145),(C142+C143)/24,IF(AND(L6&gt;=24,C11="WVOE/VOI",C20 = "Yes, Annual",M145="Decreasing but stable",O144="No"),(C142+C143)/24,IF(AND(C11="WVOE/VOI",C20 = "Yes, Annual", M145="Decreasing",L6&gt;=24),M141,IF(AND(C11="Paystub and W-2(s)",C20 = "Yes, Annual",H20=1,C41&gt;0,M145="Increasing",L6&gt;=12,L6&lt;24,X26=(YEAR(C6)-1)),(C141+C145)/24,IF(AND( C11="Paystub and W-2(s)",C20 = "Yes, Annual",H20=1,C41&gt;0,M145="Increasing",L6&gt;=12,L6&lt;24,X26=(YEAR(C6)-2)),(C141+C145)/24,IF(AND( C11="Paystub and W-2(s)",C20 = "Yes, Annual",H20=1,C41&gt;0,M145="Decreasing",L6&gt;=12,L6&lt;24),M141,IF(AND( L6&lt;24,M13="Yes",C11="Paystub and W-2(s)",C20 = "Yes, Annual",H20=1,C41&gt;0,M145="Decreasing but stable",L6&gt;=12,O144="Yes",O146&gt;=O145),(C141+C145+C146)/36,IF(AND( L6&lt;24,M13="Yes",C11="Paystub and W-2(s)",C20 = "Yes, Annual",H20=1,C41&gt;0,M145="Decreasing but stable",L6&gt;=12,O144="Yes",O146&lt;O145),(C141+C145)/24,IF(AND( L6&lt;24,M13="Yes",C11="Paystub and W-2(s)",C20 = "Yes, Annual",H20=1,C41&gt;0,M145="Decreasing but stable",L6&gt;=12,O144="No"),(C141+C145)/24,IF(AND( C11="Paystub and W-2(s)",C20 = "Yes, Annual",H20&gt;1,C41&gt;0,AD46="Increasing",M145="Increasing",L6&gt;=12,L6&lt;24,X26=(YEAR(C6)-1)),(C141+C145)/24,IF(AND( C11="Paystub and W-2(s)",C20 = "Yes, Annual",H20&gt;1,C41&gt;0,AD46="Increasing",M145="Increasing",L6&gt;=12,L6&lt;24,X26=(YEAR(C6)-2)),(C141+C145)/24,IF(AND(C11="Paystub and W-2(s)",C20 = "Yes, Annual",H20&gt;1,C41&gt;0,AD46="Increasing",M145="Decreasing",L6&gt;=12,L6&lt;24),M141,IF(AND(L6&lt;24,M13="Yes",C11="Paystub and W-2(s)",C20 = "Yes, Annual",H20&gt;1,C41&gt;0,AD46="Increasing",M145="Decreasing but stable",L6&gt;=12,O144="Yes",O146&gt;=O145),(C141+C145+C146)/36,IF(AND(L6&lt;24,M13="Yes",C11="Paystub and W-2(s)",C20 = "Yes, Annual",H20&gt;1,C41&gt;0,AD46="Increasing",M145="Decreasing but stable",L6&gt;=12,O144="Yes",O146&lt;O145),(C141+C145)/24,IF(AND(L6&lt;24,M13="Yes",C11="Paystub and W-2(s)",C20 = "Yes, Annual",H20&gt;1,C41&gt;0,AD46="Increasing",M145="Decreasing but stable",L6&gt;=12,O144="No"),(C141+C145)/24,IF(AND( C11="Paystub and W-2(s)",C20 = "Yes, Annual",H20&gt;1,C41&gt;0,AD46="Decreasing",L6&gt;=12,L6&lt;24),M141,IF(AND(C11="WVOE/VOI",M145="Increasing",L6&gt;=12,L6&lt;24,X26=(YEAR(C6)-1)),(C142+C143)/24,IF(AND(C11="WVOE/VOI",M145="Increasing",C20 = "Yes, Annual",L6&gt;=12,L6&lt;24,X26=(YEAR(C6)-2)),(C142+C143)/24,IF(AND(C11="WVOE/VOI",M145="Decreasing",C20 = "Yes, Annual",L6&gt;=12,L6&lt;24),M141,IF(AND(C11="WVOE/VOI",M145="Decreasing but stable",C20 = "Yes, Annual",L6&gt;=12,L6&lt;24,X26=(YEAR(C6)-1)),(C142+C143+C144)/36,IF(AND(C11="WVOE/VOI",M145="Decreasing but stable",C20 = "Yes, Annual",L6&gt;=12,L6&lt;24,X26=(YEAR(C6)-2)),(C142+C143+C144)/36,IF(AND(C20 = "Yes, Average",L6&lt;12,N13="Yes",M149= "Current Employer only: Decreasing",N13="No"),C142/12,IF(AND(C20 = "Yes, Average",L6&lt;12,N13="Yes",M149= "Current Employer only: Decreasing",N13="Yes"),C142/12,IF(AND(C20 = "Yes, Average",L6&lt;12,N13="No",M149= "Current Employer Only: Increasing",N13="Yes"),C142/12,IF(AND(C20 = "Yes, Average",L6&lt;12,N13="No",M149= "Current Employer Only: Increasing",N13="No"),(C142+C143)/24,IF(AND(C20 = "Yes, Average",L6&lt;12,M149 = "Combined: Increasing",N13="Yes"), (C142 + C73 + C74)/ 24,IF(AND(C20 = "Yes, Average",L6&lt;12,M149 = "Combined: Increasing",N13="No"), (C142 + C143 + C74)/ 24,IF(AND(C20 = "Yes, Average",L6&lt;12,M149 = "Combined: Decreasing",N13="Yes"), (C142 + C73)/12,IF(AND(C20 = "Yes, Average",L6&lt;12,M149 = "Combined: Decreasing",N13="No"), C142/12,0))))))))))))))))))))))))))))))))))))))))))))))</f>
        <v>0</v>
      </c>
      <c r="N147" s="10" t="s">
        <v>429</v>
      </c>
      <c r="O147" s="24">
        <f ca="1">IF(AND(L6&lt;12,C142=""),"",IF(AND(C20="Yes, Average",L6&lt;12,N13="Yes"),C142/X32,IF(AND(C20="Yes, Average",L6&lt;12,N13="No"),C142/M29,IF(AND(C20="Yes, Annual",L6&lt;12,N13="Yes"),C142/12,IF(AND(C20="Yes, Annual",L6&lt;12,N13="No"),C142/12,0)))))</f>
        <v>0</v>
      </c>
      <c r="P147" s="10" t="str">
        <f>IF(M24="","",M24 - 2 &amp;" "&amp;"amount"&amp;" of"&amp;" Bonus" &amp;" from"&amp;" WVOE")</f>
        <v/>
      </c>
    </row>
    <row r="148" spans="2:22" hidden="1">
      <c r="B148" s="87" t="s">
        <v>443</v>
      </c>
      <c r="C148" s="101" t="s">
        <v>226</v>
      </c>
      <c r="F148" s="285"/>
      <c r="H148" s="11"/>
      <c r="L148" s="10" t="s">
        <v>297</v>
      </c>
      <c r="M148" s="22" t="str">
        <f>IF(AND(C11="WVOE/VOI",C142=""),"",IF(AND(C11="WVOE/VOI",L6&gt;=12,C143=""),"",IF(M141=0,"",IF(M143=0,"",ABS(ROUND(((M141/M143)-1)*100,2))))))</f>
        <v/>
      </c>
    </row>
    <row r="149" spans="2:22" hidden="1">
      <c r="B149" s="286" t="str">
        <f ca="1">IF(AND(C11="Paystub and W-2(s)",C13="Salary",AC49="No",C20="Yes, Annual"),"Cannot back into the W-2's. See summary page for more details",IF(S142&lt;-50,"The YTD has decreased"&amp;" "&amp;ROUND(ABS(S142),2)&amp;"%"&amp;" "&amp;"from last year's w-2 average. Condition for docuemntation to explain this decline",IF(AND(C11="Paystub and W-2(s)",C13="Salary",AC49="No",C20="Yes, Average"),"Cannot back into the W-2's. See summary page for more details",IF(S142="","",IF(AND(H20&gt;2,AD46="decreasing"),"Condition out for a WVOE as the total income is declining",IF(S142&gt;50,"The YTD has increased"&amp;" "&amp;ROUND(S142,2)&amp;"%"&amp;" "&amp;"over last year's w-2 average. Verify that the increase in income is documented and supported","Okay to Proceed, See Summary tab for full breakdown"))))))</f>
        <v/>
      </c>
      <c r="C149" s="286"/>
      <c r="F149" s="285"/>
      <c r="L149" s="10" t="s">
        <v>431</v>
      </c>
      <c r="M149" s="22" t="str">
        <f ca="1">IF(AND(L6&lt;12, C142=""),"",IF(V144 = "Not accounted for","",IF(V143="Not accounted for","",IF(AND(V144&gt;=V143,V145&gt;=M141),"Current Employer only: Decreasing",IF(AND(V144&gt;=V143,V145&lt;M141),"Current Employer Only: Increasing",IF(AND(V144&lt;V143, M143&lt;M141),"Combined: Increasing",IF(AND(V144&lt;V143,M143&gt;=M141),"Combined: Decreasing","Not accounted for")))))))</f>
        <v>Current Employer only: Decreasing</v>
      </c>
    </row>
    <row r="150" spans="2:22" ht="27" hidden="1" customHeight="1">
      <c r="B150" s="286"/>
      <c r="C150" s="286"/>
      <c r="F150" s="285"/>
      <c r="L150" s="10" t="s">
        <v>444</v>
      </c>
      <c r="M150" s="21">
        <v>0</v>
      </c>
    </row>
    <row r="151" spans="2:22" hidden="1">
      <c r="B151" s="279"/>
      <c r="C151" s="279"/>
      <c r="F151" s="285"/>
    </row>
    <row r="152" spans="2:22" hidden="1">
      <c r="B152" s="17"/>
      <c r="C152" s="17"/>
      <c r="F152" s="285"/>
    </row>
    <row r="153" spans="2:22" hidden="1">
      <c r="B153" s="280" t="s">
        <v>445</v>
      </c>
      <c r="C153" s="280"/>
      <c r="F153" s="285"/>
      <c r="O153" s="22"/>
    </row>
    <row r="154" spans="2:22" hidden="1">
      <c r="B154" s="280"/>
      <c r="C154" s="280"/>
      <c r="F154" s="285"/>
      <c r="O154" s="22"/>
    </row>
    <row r="155" spans="2:22" hidden="1">
      <c r="B155" s="281"/>
      <c r="C155" s="281"/>
      <c r="F155" s="285"/>
      <c r="O155" s="22"/>
    </row>
    <row r="156" spans="2:22" hidden="1">
      <c r="B156" s="89" t="s">
        <v>316</v>
      </c>
      <c r="C156" s="96">
        <f>IF(C42 = "",0,C42)</f>
        <v>0</v>
      </c>
      <c r="F156" s="285"/>
      <c r="L156" s="10" t="s">
        <v>446</v>
      </c>
      <c r="M156" s="19" t="str">
        <f ca="1">IF(AND(C11 = "Paystub and W-2(s)",C156=""),"",IF(AND(C11="WVOE/VOI",C157=""),"",IF(AND(C11 = "Paystub and W-2(s)", L6&gt;=12), C156/M29,IF(AND(C11="WVOE/VOI",L6&gt;=12),C157/M29,IF(AND(C11="Paystub and W-2(s)",L6&lt;12, N13="Yes"),(C156+C76)/M29,IF(AND(C11="Paystub and W-2(s)",L6&lt;12, N13="No"),C156/M29,IF(AND(C11="WVOE/VOI",L6&lt;12,N13="Yes"),(C157+C76)/M29,IF(AND(C11="WVOE/VOI",L6&lt;12,N13="No"),C157/M29,""))))))))</f>
        <v/>
      </c>
      <c r="N156" s="10" t="s">
        <v>291</v>
      </c>
      <c r="O156" s="24" t="str">
        <f ca="1">IF(M159=0,"",IF(AND(C11="Paystub and W-2(s)",L6&gt;=24),(C160+C161)/2,IF(AND(C11="WVOE/VOI",L6&gt;=24),(C158+C159)/2,IF(AND(C11="Paystub and W-2(s)",L6&gt;=12,L6&lt;24,X26=(YEAR(C6)-1)),(AH42+C161)/2,IF(AND(C11="WVOE/VOI",L6&gt;=12,L6&lt;24,X26=(YEAR(C6)-1)),(AH42+C159)/2,IF(AND(C11="Paystub and W-2(s)",L6&gt;=12,L6&lt;24,X26=(YEAR(C6)-2)),(AJ42+C160)/2,IF(AND(C11="WVOE/VOI",L6&gt;=12,L6&lt;24,M13="Yes"),(((C159/X32)*12)+C158)/2,IF(AND(L6&lt;12,N13="Yes"),(C77+C78)/2,IF(AND(L6&lt;12,N13="No"),(C77+C78+C158)/2,"Not accounted for")))))))))</f>
        <v/>
      </c>
    </row>
    <row r="157" spans="2:22" hidden="1">
      <c r="B157" s="89" t="s">
        <v>447</v>
      </c>
      <c r="C157" s="88"/>
      <c r="F157" s="285"/>
      <c r="O157" s="22"/>
      <c r="P157" s="10" t="s">
        <v>420</v>
      </c>
      <c r="R157" s="11" t="s">
        <v>436</v>
      </c>
      <c r="S157" s="10" t="str">
        <f>IF(OR(C21="Select One:",C21="No"),"",IF(AND(C11="Paystub and W-2(s)",C21="Yes",C42=""),"",IF(AND(C11="Paystub and W-2(s)",C13="Salary",AC49="No"),"",IF(AND(C157="",C11="WVOE/VOI"),"",IF(AND(C156="",C11="Paystub and W-2(s)"),"",IF(C11="Select One:","",IF(AND(C11="Paystub and W-2(s)",L6&gt;=24),ROUND((O158-C160)/C160*100,2),IF(AND(C11="WVOE/VOI",L6&gt;=24),ROUND((O158-C158)/C158*100,2),IF(AND(C11="Paystub and W-2(s)",L6&gt;=24),ROUND((O158-C160)/C160*100,2),IF(AND(C11="Paystub and W-2(s)",L6&gt;=12,L6&lt;24,X26=(YEAR(C6)-1)),ROUND((O158-S161)/S161*100,2),IF(AND(C11="Paystub and W-2(s)",L6&gt;=12,L6&lt;24,X26=(YEAR(C6)-2)),ROUND((O158-C160)/C160*100,2),IF(AND(C11="WVOE/VOI",L6&gt;=12,L6&lt;24,X26=(YEAR(C6)-1)),ROUND((O158-S161)/S161*100,2),IF(AND(C11="WVOE/VOI",L6&gt;=12,L6&lt;24,X26=(YEAR(C6)-2)),ROUND((O158-C158)/C158*100,2),IF(AND(L6&lt;12,N13="No"),ROUND((O158-((C158/X32)*12))/((C158/X32)*12)*100,2),IF(AND(L6&lt;12,N13="Yes"),ROUND(((O158-C77)/C77)*100,2),"")))))))))))))))</f>
        <v/>
      </c>
      <c r="U157" s="10" t="s">
        <v>422</v>
      </c>
    </row>
    <row r="158" spans="2:22" hidden="1">
      <c r="B158" s="89" t="str">
        <f>P161</f>
        <v/>
      </c>
      <c r="C158" s="83"/>
      <c r="F158" s="285"/>
      <c r="G158" s="11"/>
      <c r="L158" s="10" t="s">
        <v>448</v>
      </c>
      <c r="M158" s="19" t="str">
        <f ca="1">IF(AND(C11="Paystub and W-2(s)",L6&gt;=24),C160/12,IF(AND(C11="WVOE/VOI",L6&gt;=24),C158/12,IF(AND(C11="Paystub and W-2(s)",L6&gt;=12,L6&lt;24,X26=(YEAR(C6)-1)),C160/X32,IF(AND(C11="WVOE/VOI",L6&gt;=12,L6&lt;24,X26=(YEAR(C6)-1)),C158/X32,IF(AND(C11="Paystub and W-2(s)",L6&gt;=12,L6&lt;24,X26=(YEAR(C6)-2)),C160/12,IF(AND(C11="WVOE/VOI",L6&gt;=12,L6&lt;24,X26=(YEAR(C6)-2)),C158/12,IF(AND(L6&lt;12,N13="Yes"),C77/12,IF(AND(L6&lt;12,N13="No"),(C77+C158)/12,"Not accounted for"))))))))</f>
        <v>Not accounted for</v>
      </c>
      <c r="N158" s="10" t="s">
        <v>298</v>
      </c>
      <c r="O158" s="24" t="str">
        <f ca="1">IF(AND(C11 = "Paystub and W-2(s)",C156=""),"",IF(AND(C11="WVOE/VOI",C157=""),"",IF(AND(C11 = "Paystub and W-2(s)", L6&gt;=12), ROUND((C156/M29)*12,2),IF(AND(C11="WVOE/VOI",L6&gt;=12),ROUND((C157/M29)*12,2),IF(AND(C11="Paystub and W-2(s)",L6&lt;12, N13="Yes"),ROUND(((C156+C76)/M29)*12,2),IF(AND(C11="Paystub and W-2(s)",L6&lt;12, N13="No"),ROUND((C156/M29)*12,2),IF(AND(C11="WVOE/VOI",L6&lt;12,N13="Yes"),ROUND(((C157+C76)/M29)*12,2),IF(AND(C11="WVOE/VOI",L6&lt;12,N13="No"),ROUND((C157/M29)*12,2),""))))))))</f>
        <v/>
      </c>
      <c r="P158" s="10" t="str">
        <f>IF(M24="","",M24 - 1 &amp;" "&amp;"amount"&amp;" of"&amp;" Commission" &amp;" from"&amp;" W-2")</f>
        <v/>
      </c>
      <c r="U158" s="10" t="s">
        <v>424</v>
      </c>
      <c r="V158" s="19">
        <f ca="1">IF(AND(L6&lt;12,N13="Yes"),C157/X32,IF(AND(L6&lt;12,N13="No"),(C157+C158)/(X32+M29),0))</f>
        <v>0</v>
      </c>
    </row>
    <row r="159" spans="2:22" hidden="1">
      <c r="B159" s="89" t="str">
        <f>P162</f>
        <v/>
      </c>
      <c r="C159" s="85"/>
      <c r="F159" s="285"/>
      <c r="G159" s="11"/>
      <c r="L159" s="10" t="s">
        <v>449</v>
      </c>
      <c r="M159" s="19">
        <f ca="1">IF(AND(C11="Paystub and W-2(s)", L6&gt;=24),C161/12,IF(AND(C11="WVOE/VOI",L6&gt;=24),C159/12,IF(AND(C11="Paystub and W-2(s)",L6&gt;=12,L6&lt;24,X26=(YEAR(C6)-2)),C161/X32,IF(AND(C11="WVOE/VOI",L6&gt;=12,L6&lt;24,X26=(YEAR(C6)-2)),C159/X32,IF(L6&lt;12,C78/12,0)))))</f>
        <v>0</v>
      </c>
      <c r="N159" s="10" t="s">
        <v>328</v>
      </c>
      <c r="O159" s="22" t="str">
        <f ca="1">IF(O158 ="","",IF(O156 ="","",IF(O158 &gt;=O156,"Yes","No")))</f>
        <v/>
      </c>
      <c r="P159" s="10" t="str">
        <f>IF(M24="","",M24 - 2 &amp;" "&amp;"amount"&amp;" of"&amp;" Commission" &amp;" from"&amp;" W-2")</f>
        <v/>
      </c>
      <c r="U159" s="10" t="s">
        <v>426</v>
      </c>
      <c r="V159" s="19" t="str">
        <f ca="1">IF(AND(L6&lt;12,N13="Yes"),C77/12,IF(AND(L6&lt;12,N13="No"),C77/(12-X32),"Not accounted for"))</f>
        <v>Not accounted for</v>
      </c>
    </row>
    <row r="160" spans="2:22" hidden="1">
      <c r="B160" s="89" t="str">
        <f>P158</f>
        <v/>
      </c>
      <c r="C160" s="96">
        <f>IF(C37="",0,IF(AND(C13="Variable",AD42=""),0,IF(AND(C13="Salary",AI55=0),0,IF(AND(C13="Salary",AI55&gt;0),AI55,IF(C13="Variable",AD42,0)))))</f>
        <v>0</v>
      </c>
      <c r="F160" s="285"/>
      <c r="L160" s="10" t="s">
        <v>383</v>
      </c>
      <c r="M160" s="22" t="str">
        <f ca="1">IF(AND(C11 = "Paystub and W-2(s)",C42=""),"",IF(AND(C11="WVOE/VOI",C157=""),"",IF(AND(L6&gt;=12,M159&lt;=M158,M158&lt;=M156 ),"Increasing",IF(AND(L6&gt;=12,M159&gt;M158,M158&gt;M156 ),"Decreasing",IF(AND(L6&gt;=12,M159&gt;M158,M158&lt;M156),"Decreasing but stable",IF(AND(L6&gt;=12,M159&lt;M158,M158&gt;M156 ),"Decreasing",IF(AND(L6&gt;=12,M159&gt;=M158,M158&gt;M156 ),"Decreasing",IF(AND(L6&gt;=12,M158&gt;M156),"Decreasing",IF(AND(L6&gt;=12,M158&lt;M156),"Increasing",IF(AND(L6&lt;12,M159&gt;=M158,M158&gt;=M156),"Decreasing",IF(AND(L6&lt;12,M159&lt;M158,M158&gt;=M156),"Decreasing",IF(AND(L6&lt;12,M158&lt;M156),"Increasing",""))))))))))))</f>
        <v>Decreasing</v>
      </c>
      <c r="N160" s="10" t="s">
        <v>340</v>
      </c>
      <c r="O160" s="24">
        <f>IF(C21&lt;&gt;"Yes",0,IF(AND(C11="Paystub and W-2(s)",L6&gt;=24),(C160+C156)/(12+M29),IF(AND(C11="WVOE/VOI",L6&gt;=24),(C158+C157)/(12+M29),IF(AND(C11="Paystub and W-2(s)",L6&gt;=12,L6&lt;24,X26=(YEAR(C6)-1)),(C160+C156)/(X32+M29),IF(AND(C11="WVOE/VOI",L6&gt;=12,L6&lt;24,X26=(YEAR(C6)-1)),(C158+C157)/(X32+M29),IF(AND(C11="Paystub and W-2(s)",L6&gt;=12,L6&lt;24,X26=(YEAR(C6)-2)),(C160+C156)/(12+M29),IF(AND(C11="WVOE/VOI",L6&gt;=12,L6&lt;24,X26=(YEAR(C6)-2)),(C158+C157)/(12+M29),IF(AND(L6&lt;12,N13="Yes"),(C157+C77+C76)/(M29+12),IF(AND(L6&lt;12,N13="No"),(C157+C158+C77)/(12+M29),0)))))))))</f>
        <v>0</v>
      </c>
      <c r="U160" s="10" t="s">
        <v>427</v>
      </c>
      <c r="V160" s="19">
        <f ca="1">IF(AND(L6&lt;12,N13="No"),C158/X32,C158/12)</f>
        <v>0</v>
      </c>
    </row>
    <row r="161" spans="2:22" hidden="1">
      <c r="B161" s="89" t="str">
        <f>P159</f>
        <v/>
      </c>
      <c r="C161" s="97">
        <f>IF(C38="",0,IF(AND(C13="Variable",AF42 = 0),0,IF(AND(C13="Salary",AJ55=0),0,IF(AND(C13="Salary",AJ55&gt;0),AJ55,IF(C13="Variable",AF42,0)))))</f>
        <v>0</v>
      </c>
      <c r="F161" s="285"/>
      <c r="G161" s="11"/>
      <c r="L161" s="10" t="s">
        <v>382</v>
      </c>
      <c r="M161" s="19" t="str">
        <f>IF(C11="Select One:","",IF(C21&lt;&gt;"Yes",0,IF(AND(C11="Paystub and W-2(s)",C42&gt;0,H20=1,M160="Increasing",L6&gt;=24),(C156 +C160)/(12+M29),IF(AND(M13="No",C11="Paystub and W-2(s)",C42&gt;0,H20=1,M160="Decreasing but stable",L6&gt;=24,O159="Yes",O161&gt;=O160), (C156 +C160+C161 )/(24+M29),IF(AND(M13="No",C11="Paystub and W-2(s)",C42&gt;0,H20=1,M160="Decreasing but stable",L6&gt;=24,O159="Yes",O161&lt;O160), (C156 +C160 )/(12+M29),IF(AND(M13="No",C11="Paystub and W-2(s)",C42&gt;0,H20=1,M160="Decreasing but stable",L6&gt;=24,O159="No",O161&gt;=O160), (C156 +C160 )/(12+M29),IF(AND(M13="Yes",C11="Paystub and W-2(s)",C42&gt;0,H20=1,M160="Decreasing but stable",L6&gt;=24,O159="Yes",O161&gt;=O160), (C156 +C160+C161 )/(12+X32+M29),IF(AND(M13="Yes",C11="Paystub and W-2(s)",C42&gt;0,H20=1,M160="Decreasing but stable",L6&gt;=24,O159="Yes",O161&lt;O160), (C156 +C160 )/(12+M29),IF(AND(M13="Yes",C11="Paystub and W-2(s)",C42&gt;0,H20=1,M160="Decreasing but stable",L6&gt;=24,O159="No",O161&gt;=O160), (C156 +C160 )/(12+M29),IF(AND(C11="Paystub and W-2(s)",C42&gt;0,H20=1,M160="Decreasing",L6&gt;=24),M156,IF(AND(C11="Paystub and W-2(s)",H20&gt;1,C42&gt;0,AD46="Increasing",M160="Increasing",L6&gt;=24),(C156+C160)/(12+M29),IF(AND(C11="Paystub and W-2(s)",H20&gt;1,C42&gt;0,AD46="Increasing",M160="Decreasing",L6&gt;=24),M156,IF(AND(M13="No",C11="Paystub and W-2(s)",H20&gt;1,C42&gt;0,AD46="Increasing",M160="Decreasing but stable",L6&gt;=24,O159="Yes",O161&gt;=O160),(C156 +C160+C161 )/(24+M29),IF(AND(M13="No",C11="Paystub and W-2(s)",H20&gt;1,C42&gt;0,AD46="Increasing",M160="Decreasing but stable",L6&gt;=24,O159="Yes",O161&lt;O160),(C156 +C160 )/(12+M29),IF(AND(M13="No",C11="Paystub and W-2(s)",H20&gt;1,C42&gt;0,AD46="Increasing",M160="Decreasing but stable",L6&gt;=24,O159="No"),(C156 +C160 )/(12+M29),IF(AND(M13="Yes",C11="Paystub and W-2(s)",H20&gt;1,C42&gt;0,AD46="Increasing",M160="Decreasing but stable",L6&gt;=24,O159="Yes",O161&gt;=O160),(C156 +C160+C161 )/(12+X32+M29),IF(AND(M13="Yes",C11="Paystub and W-2(s)",H20&gt;1,C42&gt;0,AD46="Increasing",M160="Decreasing but stable",L6&gt;=24,O159="Yes",O161&lt;O160),(C156 +C160 )/(12+M29),IF(AND(M13="Yes",C11="Paystub and W-2(s)",H20&gt;1,C42&gt;0,AD46="Increasing",M160="Decreasing but stable",L6&gt;=24,O159="No"),(C156 +C160 )/(12+M29),IF(AND(C11="Paystub and W-2(s)",H20&gt;1,AD46="Decreasing",C42&gt;0,L6&gt;=24),M156,IF(AND(C11="WVOE/VOI",M160="Increasing",L6&gt;=24),(C157+C158)/(12+M29),IF(AND(C11="WVOE/VOI",M160="Decreasing",L6&gt;=24),M156,IF(AND(C11="WVOE/VOI",M160="Decreasing but stable",L6&gt;=24,M13="Yes",O159="Yes",O161&gt;=O160),(C157+C158+C159)/(12+X32+M29),IF(AND(C11="WVOE/VOI",M160="Decreasing but stable",L6&gt;=24,M13="Yes",O159="Yes",O161&lt;O160),(C157+C158)/(12+M29),IF(AND(C11="WVOE/VOI",M160="Decreasing but stable",L6&gt;=24,M13="Yes",O159="No"),(C157+C158)/(12+M29),IF(AND(C11="WVOE/VOI",M160="Decreasing but stable",L6&gt;=24,M13="No",O159="Yes",O161&gt;=O160),(C157+C158+C159)/(24+M29),IF(AND(C11="WVOE/VOI",M160="Decreasing but stable",L6&gt;=24,M13="No",O159="Yes",O161&lt;O160),(C157+C158)/(12+M29),IF(AND(C11="WVOE/VOI",M160="Decreasing but stable",L6&gt;=24,M13="No",O159="No"),(C157+C158)/(12+M29),IF(AND( C11="Paystub and W-2(s)",H20=1,C42&gt;0,M160="Increasing",L6&gt;=12,L6&lt;24,X26=(YEAR(C6)-1)),(C156+C160)/(M29+X32),IF(AND(C11="Paystub and W-2(s)",H20=1,C42&gt;0,M160="Increasing",L6&gt;=12,L6&lt;24,X26=(YEAR(C6)-2)),(C156+C160)/(M29+12),IF(AND( C11="Paystub and W-2(s)",H20=1,C42&gt;0,M160="Decreasing",L6&gt;=12,L6&lt;24),M156,IF(AND( C11="Paystub and W-2(s)",H20=1,C42&gt;0,M160="Decreasing but stable",L6&gt;=12,L6&lt;24,M13="Yes",O159="Yes",O161&gt;=O160),(C156+C160+C161)/(M29+X32+12),IF(AND( C11="Paystub and W-2(s)",H20=1,C42&gt;0,M160="Decreasing but stable",L6&gt;=12,L6&lt;24,M13="Yes",O159="Yes",O161&lt;O160),(C156+C160)/(M29+12),IF(AND( C11="Paystub and W-2(s)",H20=1,C42&gt;0,M160="Decreasing but stable",L6&gt;=12,L6&lt;24,M13="Yes",O159="No"),(C156+C160)/(M29+12),IF(AND( C11="Paystub and W-2(s)",H20&gt;1,C42&gt;0,AD46="Increasing",M160="Increasing",L6&gt;=12,L6&lt;24,X26=(YEAR(C6)-1)),(C156+C160)/(M29+X32),IF(AND( C11="Paystub and W-2(s)",H20&gt;1,C42&gt;0,AD46="Increasing",M160="Increasing",L6&gt;=12,L6&lt;24,X26=(YEAR(C6)-2)),(C156+C160)/(M29+12),IF(AND(C11="Paystub and W-2(s)",H20&gt;1,C42&gt;0,AD46="Increasing",M160="Decreasing",L6&gt;=12,L6&lt;24),M156,IF(AND(C11="Paystub and W-2(s)",H20&gt;1,C42&gt;0,AD46="Increasing",M160="Decreasing but stable",L6&gt;=12,L6&lt;24,M13="Yes",O159="Yes",O161&gt;=O160),(C156+C160+C161)/(M29+X32+12),IF(AND(C11="Paystub and W-2(s)",H20&gt;1,C42&gt;0,AD46="Increasing",M160="Decreasing but stable",L6&gt;=12,L6&lt;24,M13="Yes",O159="Yes",O161&gt;=O160),(C156+C160)/(M29+X32+12),IF(AND(C11="Paystub and W-2(s)",H20&gt;1,C42&gt;0,AD46="Increasing",M160="Decreasing but stable",L6&gt;=12,L6&lt;24,M13="Yes",O159="Yes",O161&gt;=O160),(C156+C160)/(M29+12),IF(AND(C11="Paystub and W-2(s)",H20&gt;1,C42&gt;0,AD46="Decreasing",L6&gt;=12,L6&lt;24),M156,IF(AND(C11="WVOE/VOI",M160="Increasing",L6&gt;=12,L6&lt;24,L13="Yes"),(C157+C158)/(X32+M29),IF(AND(C11="WVOE/VOI",M160="Increasing",L6&gt;=12,L6&lt;24,M13="Yes"),(C157+C158)/(12+M29),IF(AND(C11="WVOE/VOI",M160="Decreasing",L6&gt;=12,L6&lt;24),M156,IF(AND(C11="WVOE/VOI",M160="Decreasing but stable",L6&gt;=12,L6&lt;24,M13="Yes",O159="Yes",O161&gt;=O160),(C157+C158+C159)/(12+X32+M29),IF(AND(C11="WVOE/VOI",M160="Decreasing but stable",L6&gt;=12,L6&lt;24,M13="Yes",O159="Yes",O161&lt;O160),(C157+C158)/(12+M29),IF(AND(C11="WVOE/VOI",M160="Decreasing but stable",L6&gt;=12,L6&lt;24,M13="Yes",O159="No"),(C157+C158)/(12+M29),IF(AND(L6&lt;12,M163= "Current Employer only: Decreasing",N13="No"),C157/M29,IF(AND(L6&lt;12,M163= "Current Employer only: Decreasing",N13="Yes"),C157/X32,IF(AND(L6&lt;12,M163= "Current Employer Only: Increasing",N13="Yes"),C157/X32,IF(AND(L6&lt;12,N13="No",M163= "Current Employer Only: Increasing",N13="No"),(C157+C158)/(X32+M29),IF(AND(L6&lt;12,M163 = "Combined: Increasing",N13="Yes"), (C157 + C76 + C77)/ (12+M29),IF(AND(L6&lt;12,M163 = "Combined: Increasing",N13="No"), (C157 + C158 + C77)/ (12+M29),IF(AND(L6&lt;12,M163 = "Combined: Decreasing",N13="Yes"), (C157 + C76)/M29,IF(AND(L6&lt;12,M163 = "Combined: Decreasing",N13="No"), C157/M29,0))))))))))))))))))))))))))))))))))))))))))))))))))))))</f>
        <v/>
      </c>
      <c r="N161" s="10" t="s">
        <v>346</v>
      </c>
      <c r="O161" s="24">
        <f>IF(C21&lt;&gt;"Yes",0,IF(AND(C11="Paystub and W-2(s)",L6&gt;=24),(C156+C160+C161)/(M29+24),IF(AND(C11="WVOE/VOI",L6&gt;=24,M13="Yes"),(C157+C158+C159)/(12+X32+M29),IF(AND(C11="WVOE/VOI",L6&gt;=24,M13="No"),(C157+C158+C159)/(24+M29),IF(AND(C11="Paystub and W-2(s)",L6&gt;=12,L6&lt;24,X26=(YEAR(C6)-2)),(C156+C160+C161)/(M29+12+X32),IF(AND(C11="WVOE/VOI",L6&gt;=12,L6&lt;24,X26=(YEAR(C6)-2)),(C157+C158+C159)/(M29+12+X32),IF(AND(L6&lt;12,N13="Yes"),(C157+C77+C78+C76)/(24+M29),IF(AND(L6&lt;12,N13="No"),(C157+C158+C77+C78)/(24+M29),"Not accounted for"))))))))</f>
        <v>0</v>
      </c>
      <c r="P161" s="10" t="str">
        <f>IF(M24="","",M24 - 1 &amp;" "&amp;"amount"&amp;" of"&amp;" Commission" &amp;" from"&amp;" WVOE")</f>
        <v/>
      </c>
      <c r="R161" s="10" t="s">
        <v>450</v>
      </c>
      <c r="S161" s="10" t="str">
        <f>IF(C11="Paystub and W-2(s)",AH42,IF(C11="WVOE/VOI",(C158/X32)*12,"Not accounted for"))</f>
        <v>Not accounted for</v>
      </c>
    </row>
    <row r="162" spans="2:22" hidden="1">
      <c r="B162" s="94" t="s">
        <v>451</v>
      </c>
      <c r="C162" s="98">
        <f ca="1">IF(AND(C11="Paystub and W-2(s)",L6&gt;=12,L6&lt;24,C156=""),0,IF(AND(C11="Paystub and W-2(s)",L6&gt;=12,L6&lt;24,C160=""),0,IF(AND(C11="WVOE/VOI",L6&gt;=12,L6&lt;24,C157=""),0,IF(AND(C11="WVOE/VOI",L6&gt;=12,L6&lt;24,C158=""),0,IF(AND(C11="WVOE/VOI",L6&gt;=12,L6&lt;24,L13="No",C159=""),0,IF(AND(L6&gt;=24,C11="WVOE/VOI",C157=""),0,IF(AND(L6&gt;=24,C11="WVOE/VOI",C158=""),0,IF(AND(L6&gt;=24,C11="WVOE/VOI",C159=""),0,IF(AND(C13="Salary",L6&gt;=12,AC49="No"),0,IF(AND(C9="LPA ",L6&lt;12,M162&gt;10,M158&gt;M156,V159&gt;V158),O162,IF(AND(C9="LPA ",L6&lt;12,M162&gt;10,M158&gt;M156,V159&gt;V158),M156,IF(AND(C9="LPA ",L6&lt;12,M162&gt;10,M158&lt;M156,C163 = "No"),M158,IF(AND(C9="LPA ",L6&lt;12,M162&gt;10,M158&lt;M156,C163 = "Select One:"),M158,IF(AND(C9="LPA ",L6&lt;12,M162&gt;10,M158&lt;M156,C163 = "Yes"),O160,IF(AND(C9="LPA ",C11 = "WVOE/VOI",M162&gt;10,C163="No",C15="Yes",M160 &lt;&gt; "Decreasing"),M158,IF(AND(C9="LPA ",C11 = "WVOE/VOI",M162&gt;10,C163="No",C15="Yes",M160 = "Decreasing"),M156,IF(AND(C9="LPA ",C11 = "WVOE/VOI",M162&gt;10,C163="Select One:",C15="Yes",M160 = "Decreasing"),M156,IF(AND(C9="LPA ",C11 = "WVOE/VOI",M162&gt;10,C163="Select One:",C15="Yes",M160 &lt;&gt; "Decreasing"),M158,IF(AND(C9="LPA ",C11 = "WVOE/VOI",M162&gt;10,C163="Yes",C15="Yes",M160 &lt;&gt; "Decreasing"),O160,IF(AND(C9="LPA ",C11 = "WVOE/VOI",M162&gt;10,C163="Yes",C15="Yes",M160 = "Decreasing"),M156,IF(AND(C9="LPA ",C11 = "Paystub and W-2(s)",V40&gt;10,C45="No",C15="Yes",M160 &lt;&gt; "Decreasing"),M158,IF(AND(C9="LPA ",C11 = "Paystub and W-2(s)",V40&gt;10,C45="No",C15="Yes",M160 = "Decreasing"),M156,IF(AND(C9="LPA ",C11 = "Paystub and W-2(s)",V40&gt;10,C45="Select One:",C15="Yes",M160 &lt;&gt; "Decreasing"),M158,IF(AND(C9="LPA ",C11 = "Paystub and W-2(s)",V40&gt;10,C45="Select One:",C15="Yes",M160 = "Decreasing"),M156,IF(AND(C9="LPA ",C11 = "Paystub and W-2(s)",V40&gt;10,C45="Yes",C15="Yes",M160 &lt;&gt; "Decreasing"),O160,IF(AND(C9="LPA ",C11 = "Paystub and W-2(s)",V40&gt;10,C45="Yes",C15="Yes",M160 = "Decreasing"),M156,IF(AND(L6&gt;=12,C15="Yes"),M161,IF(L6&lt;12,M161,0))))))))))))))))))))))))))))</f>
        <v>0</v>
      </c>
      <c r="D162" s="26"/>
      <c r="F162" s="285"/>
      <c r="L162" s="10" t="s">
        <v>297</v>
      </c>
      <c r="M162" s="10" t="str">
        <f ca="1">IF(AND(C11="Paystub and W-2(s)",C160=0),"",IF(AND(C11="WVOE/VOI",C157=""),"",IF(AND(C11="WVOE/VOI",L6&gt;=12,C158=""),"",IF(M156="","",IF(M158="","",ABS(ROUND(((M156/M158)-1)*100,2)))))))</f>
        <v/>
      </c>
      <c r="N162" s="10" t="s">
        <v>452</v>
      </c>
      <c r="O162" s="24" t="b">
        <f ca="1">IF(AND(L6&lt;12,C157=""),"",IF(AND(L6&lt;12,N13="Yes"),C157/X32,IF(AND(L6&lt;12,N13="No"),C157/M29)))</f>
        <v>0</v>
      </c>
      <c r="P162" s="10" t="str">
        <f>IF(M24="","",M24 - 2 &amp;" "&amp;"amount"&amp;" of"&amp;" Commission" &amp;" from"&amp;" WVOE")</f>
        <v/>
      </c>
    </row>
    <row r="163" spans="2:22" hidden="1">
      <c r="B163" s="95" t="s">
        <v>334</v>
      </c>
      <c r="C163" s="100" t="s">
        <v>226</v>
      </c>
      <c r="F163" s="285"/>
      <c r="H163" s="11"/>
      <c r="L163" s="10" t="s">
        <v>431</v>
      </c>
      <c r="M163" s="10" t="str">
        <f ca="1">IF(AND(L6&lt;12, C157=""),"",IF(V159 = "Not accounted for","",IF(V158="Not accounted for","",IF(AND(V159&gt;=V158,V160&gt;=M156),"Current Employer only: Decreasing",IF(AND(V159&gt;=V158,V160&lt;M156),"Current Employer Only: Increasing",IF(AND(V159&lt;V158, M158&lt;M156),"Combined: Increasing",IF(AND(V159&lt;V158,M158&gt;=M156),"Combined: Decreasing","Not accounted for")))))))</f>
        <v/>
      </c>
      <c r="O163" s="22"/>
    </row>
    <row r="164" spans="2:22" hidden="1">
      <c r="B164" s="282" t="str">
        <f>IF(AND(C11="Paystub and W-2(s)",C13="Salary",AC49="No",C21="Yes"),"Cannot back into the W-2's. See summary page for more details",IF(S157="","",IF(S157&lt;-50,"The YTD has decreased"&amp;" "&amp;ROUND(ABS(S157),2)&amp;"%"&amp;" "&amp;"from last year's w-2 average. Condition for docuemntation to explain this decline",IF(AND(H20&gt;2,AD46="decreasing"),"Condition out for a WVOE as the total income is declining",IF(S157&gt;50,"The YTD has increased"&amp;" "&amp;ROUND(S157,2)&amp;"%"&amp;" "&amp;"over last year's w-2 average. Verify that the increase in income is documented and supported","Okay to Proceed, See Summary tab for full breakdown")))))</f>
        <v/>
      </c>
      <c r="C164" s="282"/>
      <c r="F164" s="285"/>
    </row>
    <row r="165" spans="2:22" ht="27" hidden="1" customHeight="1">
      <c r="B165" s="283"/>
      <c r="C165" s="283"/>
      <c r="F165" s="285"/>
      <c r="L165" s="11"/>
    </row>
    <row r="166" spans="2:22" hidden="1">
      <c r="B166" s="17"/>
      <c r="C166" s="17"/>
      <c r="F166" s="285"/>
      <c r="O166" s="22"/>
    </row>
    <row r="167" spans="2:22" hidden="1">
      <c r="B167" s="17"/>
      <c r="C167" s="17"/>
      <c r="F167" s="285"/>
      <c r="O167" s="22"/>
    </row>
    <row r="168" spans="2:22" hidden="1">
      <c r="B168" s="280" t="s">
        <v>453</v>
      </c>
      <c r="C168" s="280"/>
      <c r="F168" s="285"/>
      <c r="O168" s="22"/>
    </row>
    <row r="169" spans="2:22" hidden="1">
      <c r="B169" s="280"/>
      <c r="C169" s="280"/>
      <c r="F169" s="285"/>
      <c r="M169" s="22"/>
      <c r="O169" s="22"/>
    </row>
    <row r="170" spans="2:22" ht="14.25" hidden="1" customHeight="1">
      <c r="B170" s="281"/>
      <c r="C170" s="281"/>
      <c r="F170" s="285"/>
      <c r="M170" s="22"/>
      <c r="O170" s="22"/>
    </row>
    <row r="171" spans="2:22" hidden="1">
      <c r="B171" s="89" t="s">
        <v>321</v>
      </c>
      <c r="C171" s="96" t="str">
        <f>IF(C43="","",C43)</f>
        <v/>
      </c>
      <c r="F171" s="285"/>
      <c r="L171" s="10" t="s">
        <v>454</v>
      </c>
      <c r="M171" s="24" t="str">
        <f ca="1">IF(AND(C11 = "Paystub and W-2(s)",C171=""),"",IF(AND(C11="WVOE/VOI",C172=""),"",IF(AND(C11 = "Paystub and W-2(s)", L6&gt;=12), C171/M29,IF(AND(C11="WVOE/VOI",L6&gt;=12),C172/M29,IF(AND(C11="Paystub and W-2(s)",L6&lt;12, N13="Yes"),(C171+C73)/M29,IF(AND(C11="Paystub and W-2(s)",L6&lt;12, N13="No"),C171/M29,IF(AND(C11="WVOE/VOI",L6&lt;12,N13="Yes"),(C172+C79)/M29,IF(AND(C11="WVOE/VOI",L6&lt;12,N13="No"),C172/M29,""))))))))</f>
        <v/>
      </c>
      <c r="N171" s="10" t="s">
        <v>291</v>
      </c>
      <c r="O171" s="24" t="str">
        <f ca="1">IF(M174=0,"",IF(AND(C11="Paystub and W-2(s)",L6&gt;=24),(C175+C176)/2,IF(AND(C11="WVOE/VOI",L6&gt;=24),(C173+C174)/2,IF(AND(C11="Paystub and W-2(s)",L6&gt;=12,L6&lt;24,X26=(YEAR(C6)-1)),(AH43+C176)/2,IF(AND(C11="WVOE/VOI",L6&gt;=12,L6&lt;24,X26=(YEAR(C6)-1)),(AH43+C174)/2,IF(AND(C11="Paystub and W-2(s)",L6&gt;=12,L6&lt;24,X26=(YEAR(C6)-2)),(AJ43+C175)/2,IF(AND(C11="WVOE/VOI",L6&gt;=12,L6&lt;24,M13="Yes"),(((C174/X32)*12)+C173)/2,IF(AND(L6&lt;12,N13="Yes"),(C80+C81)/2,IF(AND(L6&lt;12,N13="No"),(C80+C81+C173)/2,"Not accounted for")))))))))</f>
        <v/>
      </c>
    </row>
    <row r="172" spans="2:22" hidden="1">
      <c r="B172" s="89" t="s">
        <v>455</v>
      </c>
      <c r="C172" s="88"/>
      <c r="F172" s="285"/>
      <c r="M172" s="22"/>
      <c r="O172" s="22"/>
      <c r="P172" s="10" t="s">
        <v>420</v>
      </c>
      <c r="R172" s="11" t="s">
        <v>456</v>
      </c>
      <c r="S172" s="10" t="str">
        <f>IF(AND(C11="Paystub and W-2(s)",C13="Salary",AC49="No"),"",IF(AND(C172="",C11="WVOE/VOI"),"",IF(AND(C171="",C11="Paystub and W-2(s)"),"",IF(C11="Select One:","",IF(AND(C11="Paystub and W-2(s)",L6&gt;=24),ROUND((O173-C175)/C175*100,2),IF(AND(C11="WVOE/VOI",L6&gt;=24),ROUND((O173-C173)/C173*100,2),IF(AND(C11="Paystub and W-2(s)",L6&gt;=12,L6&lt;24,X26=(YEAR(C6)-1)),ROUND((O173-S176)/S176*100,2),IF(AND(C11="Paystub and W-2(s)",L6&gt;=12,L6&lt;24,X26=(YEAR(C6)-2)),ROUND((O173-C175)/C175*100,2),IF(AND(C11="WVOE/VOI",L6&gt;=12,L6&lt;24,X26=(YEAR(C6)-1)),ROUND((O173-S176)/S176*100,2),IF(AND(C11="WVOE/VOI",L6&gt;=12,L6&lt;24,X26=(YEAR(C6)-2)),ROUND((O173-C173)/C173*100,2),IF(AND(L6&lt;12,N13="No"),ROUND((O173-((C173/X32)*12))/((C173/X32)*12)*100,2),IF(AND(L6&lt;12,N13="Yes"),ROUND(((O173-C80)/C80)*100,2),""))))))))))))</f>
        <v/>
      </c>
      <c r="U172" s="10" t="s">
        <v>422</v>
      </c>
    </row>
    <row r="173" spans="2:22" hidden="1">
      <c r="B173" s="89" t="str">
        <f>P176</f>
        <v/>
      </c>
      <c r="C173" s="83"/>
      <c r="F173" s="285"/>
      <c r="G173" s="11"/>
      <c r="L173" s="10" t="s">
        <v>457</v>
      </c>
      <c r="M173" s="24" t="str">
        <f ca="1">IF(AND(C11="Paystub and W-2(s)",L6&gt;=24),C175/12,IF(AND(C11="WVOE/VOI",L6&gt;=24),C173/12,IF(AND(C11="Paystub and W-2(s)",L6&gt;=12,L6&lt;24,X26=(YEAR(C6)-1)),C175/X32,IF(AND(C11="WVOE/VOI",L6&gt;=12,L6&lt;24,X26=(YEAR(C6)-1)),C173/X32,IF(AND(C11="Paystub and W-2(s)",L6&gt;=12,L6&lt;24,X26=(YEAR(C6)-2)),C175/12,IF(AND(C11="WVOE/VOI",L6&gt;=12,L6&lt;24,X26=(YEAR(C6)-2)),C173/12,IF(AND(L6&lt;12,N13="Yes"),C80/12,IF(AND(L6&lt;12,N13="No"),(C80+C173)/12,"Not accounted for"))))))))</f>
        <v>Not accounted for</v>
      </c>
      <c r="N173" s="10" t="s">
        <v>298</v>
      </c>
      <c r="O173" s="24" t="str">
        <f ca="1">IF(AND(C11 = "Paystub and W-2(s)",C171=""),"",IF(AND(C11="WVOE/VOI",C172=""),"",IF(AND(C11 = "Paystub and W-2(s)", L6&gt;=12),ROUND(( C171/M29)*12,2),IF(AND(C11="WVOE/VOI",L6&gt;=12),ROUND((C172/M29)*12,2),IF(AND(C11="Paystub and W-2(s)",L6&lt;12, N13="Yes"),ROUND(((C171+C73)/M29)*12,2),IF(AND(C11="Paystub and W-2(s)",L6&lt;12, N13="No"),ROUND((C171/M29)*12,2),IF(AND(C11="WVOE/VOI",L6&lt;12,N13="Yes"),ROUND(((C172+C79)/M29)*12,2),IF(AND(C11="WVOE/VOI",L6&lt;12,N13="No"),ROUND((C172/M29)*12,2),""))))))))</f>
        <v/>
      </c>
      <c r="P173" s="10" t="str">
        <f>IF(M24="","",M24 - 1 &amp;" "&amp;"amount"&amp;" of"&amp;" Tip income" &amp;" from"&amp;" W-2")</f>
        <v/>
      </c>
      <c r="U173" s="10" t="s">
        <v>424</v>
      </c>
      <c r="V173" s="19">
        <f ca="1">IF(AND(L6&lt;12,N13="Yes"),C172/X32,IF(AND(L6&lt;12,N13="No"),(C172+C173)/(X32+M29),0))</f>
        <v>0</v>
      </c>
    </row>
    <row r="174" spans="2:22" hidden="1">
      <c r="B174" s="89" t="str">
        <f>P177</f>
        <v/>
      </c>
      <c r="C174" s="85"/>
      <c r="F174" s="285"/>
      <c r="G174" s="11"/>
      <c r="L174" s="10" t="s">
        <v>458</v>
      </c>
      <c r="M174" s="24">
        <f ca="1">IF(AND(C11="Paystub and W-2(s)", L6&gt;=24),C176/12,IF(AND(C11="WVOE/VOI",L6&gt;=24),C174/12,IF(AND(C11="Paystub and W-2(s)",L6&gt;=12,L6&lt;24,X26=(YEAR(C6)-2)),C176/X32,IF(AND(C11="WVOE/VOI",L6&gt;=12,L6&lt;24,X26=(YEAR(C6)-2)),C174/X32,IF(L6&lt;12,C81/12,0)))))</f>
        <v>0</v>
      </c>
      <c r="N174" s="10" t="s">
        <v>328</v>
      </c>
      <c r="O174" s="22" t="str">
        <f ca="1">IF(O173="","",IF(O171="","",IF(O173&gt;=O171,"Yes","No")))</f>
        <v/>
      </c>
      <c r="P174" s="10" t="str">
        <f>IF(M24="","",M24 - 2 &amp;" "&amp;"amount"&amp;" of"&amp;" Tip income" &amp;" from"&amp;" W-2")</f>
        <v/>
      </c>
      <c r="U174" s="10" t="s">
        <v>426</v>
      </c>
      <c r="V174" s="19" t="str">
        <f ca="1">IF(AND(L6&lt;12,N13="Yes"),C80/12,IF(AND(L6&lt;12,N13="No"),C80/(12-X32),"Not accounted for"))</f>
        <v>Not accounted for</v>
      </c>
    </row>
    <row r="175" spans="2:22" hidden="1">
      <c r="B175" s="89" t="str">
        <f>P173</f>
        <v/>
      </c>
      <c r="C175" s="96">
        <f>IF(C37="",0,IF(AND(C13="Variable",AD43=""),0,IF(AND(C13="Salary",AI57=0),0,IF(AND(C13="Salary",AI57&gt;0),AI57,IF(C13="Variable",AD43,0)))))</f>
        <v>0</v>
      </c>
      <c r="F175" s="285"/>
      <c r="L175" s="10" t="s">
        <v>383</v>
      </c>
      <c r="M175" s="22" t="str">
        <f ca="1">IF(AND(C11="Paystub and W-2(s)",C171 = ""),"",IF(AND(C11="WVOE/VOI",C172=""),"",IF(AND(L6&gt;=12,M174&lt;=M173,M173&lt;=M171 ),"Increasing",IF(AND(L6&gt;=12,M174&gt;M173,M173&gt;M171 ),"Decreasing",IF(AND(L6&gt;=12,M174&gt;M173,M173&lt;M171),"Decreasing but stable",IF(AND(L6&gt;=12,M174&lt;M173,M173&gt;M171 ),"Decreasing",IF(AND(L6&gt;=12,M174&gt;=M173,M173&gt;M171 ),"Decreasing",IF(AND(L6&gt;=12,M173&gt;M171),"Decreasing",IF(AND(L6&gt;=12,M173&lt;M171),"Increasing",IF(AND(L6&lt;12,M174&gt;M173,M173&gt;M171),"Decreasing",IF(AND(L6&lt;12,M174&lt;M173,M173&gt;M171),"Decreasing",IF(AND(L6&lt;12,M174&gt;M173,M173&lt;M171,O174="Yes",O175&lt;O176),"Increasing",IF(AND(L6&lt;12,M174&gt;M173,M173&lt;M171,O174="No"),"Increasing",IF(AND(L6&lt;12,M173&lt;M171),"Increasing",0))))))))))))))</f>
        <v>Decreasing</v>
      </c>
      <c r="N175" s="10" t="s">
        <v>340</v>
      </c>
      <c r="O175" s="24">
        <f>IF(C22&lt;&gt;"Yes",0,IF(AND(C11="Paystub and W-2(s)",L6&gt;=24),(C175+C171)/(12+M29),IF(AND(C11="WVOE/VOI",L6&gt;=24),(C173+C172)/(12+M29),IF(AND(C11="Paystub and W-2(s)",L6&gt;=12,L6&lt;24,X26=(YEAR(C6)-1)),(C175+C171)/(X32+M29),IF(AND(C11="WVOE/VOI",L6&gt;=12,L6&lt;24,X26=(YEAR(C6)-1)),(C173+C172)/(X32+M29),IF(AND(C11="Paystub and W-2(s)",L6&gt;=12,L6&lt;24,X26=(YEAR(C6)-2)),(C175+C171)/(12+M29),IF(AND(C11="WVOE/VOI",L6&gt;=12,L6&lt;24,X26=(YEAR(C6)-2)),(C173+C172)/(12+M29),IF(AND(L6&lt;12,N13="Yes"),(C172+C80+C79)/(M29+12),IF(AND(L6&lt;12,N13="No"),(C172+C173+C80)/(12+M29),"Not accounted for")))))))))</f>
        <v>0</v>
      </c>
      <c r="U175" s="10" t="s">
        <v>427</v>
      </c>
      <c r="V175" s="19">
        <f ca="1">IF(AND(L6&lt;12,N13="No"),C173/X32,C173/12)</f>
        <v>0</v>
      </c>
    </row>
    <row r="176" spans="2:22" hidden="1">
      <c r="B176" s="89" t="str">
        <f>P174</f>
        <v/>
      </c>
      <c r="C176" s="97">
        <f>IF(C38="",0,IF(AND(C13="Variable",AF43 = ""),0,IF(AND(C13="Salary",AJ57=0),0,IF(AND(C13="Salary",AJ57&gt;0),AJ57,IF(C13="Variable",AF43,0)))))</f>
        <v>0</v>
      </c>
      <c r="F176" s="285"/>
      <c r="G176" s="11"/>
      <c r="L176" s="10" t="s">
        <v>382</v>
      </c>
      <c r="M176" s="24" t="str">
        <f>IF(C11="Select One:","",IF(C22&lt;&gt;"Yes",0,IF(AND(C11="Paystub and W-2(s)",H20=1,C43&gt;0,M175="Increasing",L6&gt;=24),(C171+C175)/(12+M29),IF(AND(M13="No",C11="Paystub and W-2(s)",H20=1,C43&gt;0,M175="Decreasing but stable",L6&gt;=24,O174 ="Yes",O176 &gt;=O175),(C171+C175+C176)/(24+M29),IF(AND(M13="No",C11="Paystub and W-2(s)",H20=1,C43&gt;0,M175="Decreasing but stable",L6&gt;=24,O174 ="Yes",O176 &lt;O175),(C171+C175)/(12+M29),IF(AND(M13="No",C11="Paystub and W-2(s)",H20=1,C43&gt;0,M175="Decreasing but stable",L6&gt;=24,O174 ="No"),(C171+C175)/(12+M29),IF(AND(M13="Yes",C11="Paystub and W-2(s)",H20=1,C43&gt;0,M175="Decreasing but stable",L6&gt;=24,O174 ="Yes",O176 &gt;=O175),(C171+C175+C176)/(12+X32+M29),IF(AND(M13="Yes",C11="Paystub and W-2(s)",H20=1,C43&gt;0,M175="Decreasing but stable",L6&gt;=24,O174 ="Yes",O176 &lt;O175),(C171+C175)/(12+M29),IF(AND(M13="Yes",C11="Paystub and W-2(s)",H20=1,C43&gt;0,M175="Decreasing but stable",L6&gt;=24,O174 ="No"),(C171+C175)/(12+M29),IF(AND(C11="Paystub and W-2(s)",H20=1,C43&gt;0,M175="Decreasing",L6&gt;=24),M171,IF(AND(C11="Paystub and W-2(s)",H20&gt;1,C43&gt;0,M175="Decreasing",AD46="Increasing",L6&gt;=24),M171,IF(AND(C11="Paystub and W-2(s)",H20&gt;1,C43&gt;0,M175="Increasing",AD46="Increasing",L6&gt;=24),(C171+C175)/(12+M29),IF(AND(M13="No",C11="Paystub and W-2(s)",H20&gt;1,C43&gt;0,AD46="Increasing",M175="Decreasing but stable",L6&gt;=24,O174 ="Yes",O176 &gt;=O175),(C171+C175+C176)/(24+M29),IF(AND(M13="No",C11="Paystub and W-2(s)",H20&gt;1,C43&gt;0,AD46="Increasing",M175="Decreasing but stable",L6&gt;=24,O174 ="Yes",O176&lt;O175),(C171+C175)/(12+M29),IF(AND(M13="No",C11="Paystub and W-2(s)",H20&gt;1,C43&gt;0,AD46="Increasing",M175="Decreasing but stable",L6&gt;=24,O174 ="No"),(C171+C175)/(12+M29),IF(AND(M13="Yes",C11="Paystub and W-2(s)",H20&gt;1,C43&gt;0,AD46="Increasing",M175="Decreasing but stable",L6&gt;=24,O174 ="Yes",O176 &gt;=O175),(C171+C175+C176)/(12+X32+M29),IF(AND(M13="Yes",C11="Paystub and W-2(s)",H20&gt;1,C43&gt;0,AD46="Increasing",M175="Decreasing but stable",L6&gt;=24,O174 ="Yes",O176&lt;O175),(C171+C175)/(12+M29),IF(AND(M13="Yes",C11="Paystub and W-2(s)",H20&gt;1,C43&gt;0,AD46="Increasing",M175="Decreasing but stable",L6&gt;=24,O174 ="No"),(C171+C175)/(12+M29),IF(AND(C11="Paystub and W-2(s)",H20&gt;1,AD46="Decreasing",C43&gt;0,L6&gt;=24),M171,IF(AND(C11="WVOE/VOI",M175="Increasing",L6&gt;=24),(C172+C173)/(12+M29),IF(AND(C11="WVOE/VOI",M175="Decreasing",L6&gt;=24),M171,IF(AND(C11="WVOE/VOI",M175="Decreasing but stable",L6&gt;=24,M13="Yes",O174="Yes"),(C172+C173+C174)/(12+X32+M29),IF(AND(C11="WVOE/VOI",M175="Decreasing but stable",L6&gt;=24,M13="No",O174="Yes"),(C172+C173+C174)/(24+M29),IF(AND(C11="WVOE/VOI",M175="Decreasing but stable",L6&gt;=24,M13="No",O174="No"),(C172+C173)/(12+M29),IF(AND(C11="WVOE/VOI",M175="Decreasing but stable",L6&gt;=24,M13="Yes",O174="No"),(C172+C173)/(12+M29),IF(AND(C11="Paystub and W-2(s)",H20=1,C43&gt;0,M175="Increasing",L6&gt;=12,L6&lt;24,X26=(YEAR(C6)-1)),(C171+C175)/(M29+X32),IF(AND(C11="Paystub and W-2(s)",H20=1,C43&gt;0,M175="Increasing",L6&gt;=12,L6&lt;24,X26=(YEAR(C6)-2)),(C171+C175)/(M29+12),IF(AND(C11="Paystub and W-2(s)",H20=1,C43&gt;0,M175="Decreasing",L6&gt;=12,L6&lt;24),M171,IF(AND(C11="Paystub and W-2(s)",H20=1,C43&gt;0,M175="Decreasing but stable",L6&gt;=12,L6&lt;24,M13="Yes",O174 ="Yes",O176 &gt;=O175),(C171+C175+C176)/(M29+X32+12),IF(AND(C11="Paystub and W-2(s)",H20=1,C43&gt;0,M175="Decreasing but stable",L6&gt;=12,L6&lt;24,M13="Yes",O174 ="Yes",O176&lt;O175),(C171+C175)/(M29+12),IF(AND(C11="Paystub and W-2(s)",H20=1,C43&gt;0,M175="Decreasing but stable",L6&gt;=12,L6&lt;24,M13="Yes",O174 ="No"),(C171+C175)/(M29+12),IF(AND(C11="Paystub and W-2(s)",H20&gt;1,C43&gt;0,AD46="Increasing",M175="Increasing",L6&gt;=12,L6&lt;24,X26=(YEAR(C6)-1)),(C171+C175)/(M29+X32),IF(AND(C11="Paystub and W-2(s)",H20&gt;1,C43&gt;0,AD46="Increasing",M175="Increasing",L6&gt;=12,L6&lt;24,X26=(YEAR(C6)-2)),(C171+C175)/(M29+12),IF(AND(C11="Paystub and W-2(s)",H20&gt;1,C43&gt;0,AD46="Increasing",M175="Decreasing",L6&gt;=12,L6&lt;24),M171,IF(AND(C11="Paystub and W-2(s)",H20&gt;1,C43&gt;0,AD46="Increasing",M175="Decreasing but stable",L6&gt;=12,L6&lt;24,M13="Yes",O174 ="Yes",O176 &gt;=O175),(C171+C175+C176)/(M29+X32+12),IF(AND(C11="Paystub and W-2(s)",H20&gt;1,C43&gt;0,AD46="Increasing",M175="Decreasing but stable",L6&gt;=12,L6&lt;24,M13="Yes",O174 ="Yes",O176&lt;O175),(C171+C175)/(M29+12),IF(AND(C11="Paystub and W-2(s)",H20&gt;1,C43&gt;0,AD46="Increasing",M175="Decreasing but stable",L6&gt;=12,L6&lt;24,M13="Yes",O174 ="No"),(C171+C175)/(M29+12),IF(AND(C11="Paystub and W-2(s)",H20&gt;1,C43&gt;0,AD46="Decreasing",L6&gt;=12,L6&lt;24),M171,IF(AND(C11="WVOE/VOI",M175="Increasing",L6&gt;=12,L6&lt;24,X26=(YEAR(C6)-1)),(C172+C173)/(X32+M29),IF(AND(C11="WVOE/VOI",M175="Increasing",L6&gt;=12,L6&lt;24,X26=(YEAR(C6)-2)),(C172+C173)/(12+M29),IF(AND(C11="WVOE/VOI",M175="Decreasing",L6&gt;=12,L6&lt;24),M171,IF(AND(C11="WVOE/VOI",M175="Decreasing but stable",L6&gt;=12,L6&lt;24,M13="Yes",O174 ="Yes",O176&gt;=O175),(C172+C173+C174)/(12+X32+M29),IF(AND(C11="WVOE/VOI",M175="Decreasing but stable",L6&gt;=12,L6&lt;24,M13="Yes",O174 ="Yes",O176&lt;O175),(C172+C173)/(12+M29),IF(AND(C11="WVOE/VOI",M175="Decreasing but stable",L6&gt;=12,L6&lt;24,M13="Yes",O174 ="No"),(C172+C173)/(12+M29),IF(AND(L6&lt;12,M178= "Current Employer only: Decreasing",N13="No"),C172/M29,IF(AND(L6&lt;12,M178= "Current Employer only: Decreasing",N13="Yes"),C172/X32,IF(AND(L6&lt;12,M178= "Current Employer Only: Increasing",N13="Yes"),C172/X32,IF(AND(L6&lt;12,M178= "Current Employer Only: Increasing",N13="No"),(C172+C173)/(X32+M29),IF(AND(L6&lt;12,M178 = "Combined: Increasing",N13="Yes"), (C172 + C79 + C80)/ (12+M29),IF(AND(L6&lt;12,M178 = "Combined: Increasing",N13="No"), (C172 + C173 + C80)/ (12+M29),IF(AND(L6&lt;12,M178 = "Combined: Decreasing",N13="Yes"), (C172 + C79)/M29,IF(AND(L6&lt;12,M178 = "Combined: Decreasing",N13="No"), C172/M29,0))))))))))))))))))))))))))))))))))))))))))))))))))))</f>
        <v/>
      </c>
      <c r="N176" s="10" t="s">
        <v>459</v>
      </c>
      <c r="O176" s="24">
        <f>IF(C22&lt;&gt;"Yes",0,IF(AND(C11="Paystub and W-2(s)",L6&gt;=24),(C171+C175+C176)/(M29+24),IF(AND(C11="WVOE/VOI",L6&gt;=24,M13="Yes"),(C172+C173+C174)/(12+X32+M29),IF(AND(C11="WVOE/VOI",L6&gt;=24,M13="No"),(C172+C173+C174)/(24+M29),IF(AND(C11="Paystub and W-2(s)",L6&gt;=12,L6&lt;24,X26=(YEAR(C6)-2)),(C171+C175+C176)/(M29+12+X32),IF(AND(C11="WVOE/VOI",L6&gt;=12,L6&lt;24,X26=(YEAR(C6)-2)),(C172+C173+C174)/(M29+12+X32),IF(AND(L6&lt;12,N13="Yes"),(C172+C80+C81+C79)/(24+M29),IF(AND(L6&lt;12,N13="No"),(C172+C173+C80+C81)/(24+M29),"Not accounted for"))))))))</f>
        <v>0</v>
      </c>
      <c r="P176" s="10" t="str">
        <f>IF(M24="","",M24 - 1 &amp;" "&amp;"amount"&amp;" of"&amp;" Tip income" &amp;" from"&amp;" WVOE")</f>
        <v/>
      </c>
      <c r="R176" s="10" t="s">
        <v>460</v>
      </c>
      <c r="S176" s="10" t="str">
        <f>IF(C11="Paystub and W-2(s)",AH43,IF(C11="WVOE/VOI",(C173/X32)*12,"Not accounted for"))</f>
        <v>Not accounted for</v>
      </c>
    </row>
    <row r="177" spans="2:16" hidden="1">
      <c r="B177" s="90" t="s">
        <v>461</v>
      </c>
      <c r="C177" s="98">
        <f ca="1">IF(AND(C11="Paystub and W-2(s)",L6&gt;=12,L6&lt;24,C171=""),0,IF(AND(C11="Paystub and W-2(s)",L6&gt;=12,L6&lt;24,C175=""),0,IF(AND(C11="WVOE/VOI",L6&gt;=12,L6&lt;24,C172=""),0,IF(AND(C11="WVOE/VOI",L6&gt;=12,L6&lt;24,C173=""),0,IF(AND(C11="WVOE/VOI",L6&gt;=12,L6&lt;24,L13="No",C174=""),0,IF(AND(L6&gt;=24,C11="WVOE/VOI",C172=""),0,IF(AND(L6&gt;=24,C11="WVOE/VOI",C173=""),0,IF(AND(L6&gt;=24,C11="WVOE/VOI",C174=""),0,IF(AND(C13="Salary",L6&gt;=12,AC49="No"),0,IF(AND(C9="LPA ",L6&lt;12,M177&gt;10,M173&gt;M171,V174&gt;V173),O177,IF(AND(C9="LPA ",L6&lt;12,M177&gt;10,M173&gt;M171,V174&lt;V173),M171,IF(AND(C9="LPA ",L6&lt;12,M177&gt;10,M173&lt;M171,C178 = "No"),M173,IF(AND(C9="LPA ",L6&lt;12,M177&gt;10,M173&lt;M171,C178 = "Select One:"),M173,IF(AND(C9="LPA ",L6&lt;12,M177&gt;10,M173&lt;M171,C178 = "Yes"),O175,IF(AND(C9="LPA ",C11 = "WVOE/VOI",M177&gt;10,C178="No",C15="Yes",M175 &lt;&gt; "Decreasing"),M173,IF(AND(C9="LPA ",C11 = "WVOE/VOI",M177&gt;10,C178="Select One:",C15="Yes",M175 &lt;&gt; "Decreasing"),M173,IF(AND(C9="LPA ",C11 = "WVOE/VOI",M177&gt;10,C178="Yes",C15="Yes",M175 &lt;&gt; "Decreasing"),O175,IF(AND(C9="LPA ",C11 = "Paystub and W-2(s)",V40&gt;10,C45="No",C15="Yes",M175 &lt;&gt; "Decreasing"),M173,IF(AND(C9="LPA ",C11 = "Paystub and W-2(s)",V40&gt;10,C45="Select One:",C15="Yes",M175 &lt;&gt; "Decreasing"),M173,IF(AND(C9="LPA ",C11 = "Paystub and W-2(s)",V40&gt;10,C45="Yes",C15="Yes",M175 &lt;&gt; "Decreasing"),O175,IF(AND(C9="LPA ",C11 = "WVOE/VOI",M177&gt;10,C178="No",C15="Yes",M175 = "Decreasing"),M171,IF(AND(C9="LPA ",C11 = "Paystub and W-2(s)",V40&gt;10,C45="No",C15="Yes",M175 = "Decreasing"),M171,IF(AND(C9="LPA ",C11 = "WVOE/VOI",M177&gt;10,C178="Select One:",C15="Yes",M175 = "Decreasing"),M171,IF(AND(C9="LPA ",C11 = "Paystub and W-2(s)",V40&gt;10,C45="Select One:",C15="Yes",M175 = "Decreasing"),M171,IF(AND(C9="LPA ",C11 = "WVOE/VOI",M177&gt;10,C178="Yes",C15="Yes",M175 = "Decreasing"),M171,IF(AND(C9="LPA ",C11 = "Paystub and W-2(s)",V40&gt;10,C45="Yes",C15="Yes",M175 = "Decreasing"),M171,IF(AND(L6&gt;=12,C15="Yes"),M176,IF(L6&lt;12,M176,0))))))))))))))))))))))))))))</f>
        <v>0</v>
      </c>
      <c r="D177" s="26"/>
      <c r="F177" s="285"/>
      <c r="L177" s="10" t="s">
        <v>297</v>
      </c>
      <c r="M177" s="22" t="str">
        <f ca="1">IF(AND(C11="WVOE/VOI",C172=""),"",IF(AND(C11="WVOE/VOI",L6&gt;=12,C173=""),"",IF(M171="","",IF(M173="","",ABS(ROUND(((M171/M173)-1)*100,2))))))</f>
        <v/>
      </c>
      <c r="N177" s="10" t="s">
        <v>452</v>
      </c>
      <c r="O177" s="24" t="b">
        <f ca="1">IF(AND(L6&lt;12,C172=""),"",IF(AND(L6&lt;12,N13="Yes"),C172/X32,IF(AND(L6&lt;12,N13="No"),C172/M29)))</f>
        <v>0</v>
      </c>
      <c r="P177" s="10" t="str">
        <f>IF(M24="","",M24 - 2 &amp;" "&amp;"amount"&amp;" of"&amp;" Tip income" &amp;" from"&amp;" WVOE")</f>
        <v/>
      </c>
    </row>
    <row r="178" spans="2:16" hidden="1">
      <c r="B178" s="93" t="s">
        <v>334</v>
      </c>
      <c r="C178" s="99" t="s">
        <v>226</v>
      </c>
      <c r="F178" s="285"/>
      <c r="H178" s="11"/>
      <c r="L178" s="10" t="s">
        <v>431</v>
      </c>
      <c r="M178" s="22" t="str">
        <f ca="1">IF(AND(L6&lt;12, C172=""),"",IF(V174 = "Not accounted for","",IF(V173="Not accounted for","",IF(AND(V174&gt;=V173,V175&gt;=M171),"Current Employer only: Decreasing",IF(AND(V174&gt;=V173,V175&lt;M171),"Current Employer Only: Increasing",IF(AND(V174&lt;V173, M173&lt;M171),"Combined: Increasing",IF(AND(V174&lt;V173,M173&gt;=M171),"Combined: Decreasing","Not accounted for")))))))</f>
        <v/>
      </c>
      <c r="O178" s="22"/>
    </row>
    <row r="179" spans="2:16" hidden="1">
      <c r="B179" s="283" t="str">
        <f>IF(AND(C11="Paystub and W-2(s)",C13="Salary",AC49="No",C22="Yes"),"Cannot back into the W-2's. See summary page for more details",IF(S172="","",IF(AND(H20&gt;2,AD46="decreasing"),"Condition out for a WVOE as the total income is declining",IF(S172&lt;-50,"The YTD has decreased"&amp;" "&amp;ROUND(ABS(S172),2)&amp;"%"&amp;" "&amp;"from last year's w-2 average. Condition for docuemntation to explain this decline",IF(S172&gt;50,"The YTD has increased"&amp;" "&amp;ROUND(S172,2)&amp;"%"&amp;" "&amp;"over last year's w-2 average. Verify that the increase in income is documented and supported","Okay to Proceed, See Summary tab for full breakdown")))))</f>
        <v/>
      </c>
      <c r="C179" s="283"/>
      <c r="F179" s="285"/>
      <c r="L179" s="11"/>
      <c r="M179" s="22"/>
      <c r="O179" s="22"/>
    </row>
    <row r="180" spans="2:16" ht="27" hidden="1" customHeight="1">
      <c r="B180" s="283"/>
      <c r="C180" s="283"/>
      <c r="F180" s="285"/>
      <c r="L180" s="11"/>
      <c r="M180" s="22"/>
      <c r="O180" s="22"/>
    </row>
    <row r="181" spans="2:16" hidden="1">
      <c r="F181" s="285"/>
      <c r="O181" s="22"/>
    </row>
    <row r="183" spans="2:16" hidden="1">
      <c r="F183" s="268"/>
    </row>
    <row r="184" spans="2:16" hidden="1">
      <c r="F184" s="268"/>
    </row>
    <row r="185" spans="2:16" hidden="1">
      <c r="F185" s="268"/>
    </row>
    <row r="186" spans="2:16" hidden="1">
      <c r="F186" s="268"/>
    </row>
    <row r="187" spans="2:16" hidden="1">
      <c r="F187" s="268"/>
    </row>
    <row r="188" spans="2:16" hidden="1">
      <c r="F188" s="268"/>
    </row>
    <row r="189" spans="2:16" hidden="1">
      <c r="F189" s="268"/>
    </row>
    <row r="190" spans="2:16" hidden="1">
      <c r="F190" s="268"/>
    </row>
    <row r="191" spans="2:16" hidden="1">
      <c r="F191" s="268"/>
    </row>
    <row r="192" spans="2:16" ht="0.75" customHeight="1">
      <c r="F192" s="268"/>
    </row>
    <row r="193" spans="6:6">
      <c r="F193" s="268"/>
    </row>
  </sheetData>
  <sheetProtection algorithmName="SHA-512" hashValue="k/Jm2fQGBJoqWTDpVmWioZKAN7ImkxsAWDOFYrmP+VoMEUCZKXUJRqfTlHD7aWFlHdUtBS2UHKyCcbZVAk1h2w==" saltValue="Um2DtM7zZ+vKJV81voZtRw==" spinCount="100000" sheet="1" objects="1" scenarios="1" formatRows="0" selectLockedCells="1"/>
  <mergeCells count="29">
    <mergeCell ref="B3:C3"/>
    <mergeCell ref="B10:C10"/>
    <mergeCell ref="L23:M23"/>
    <mergeCell ref="O23:P23"/>
    <mergeCell ref="A1:F2"/>
    <mergeCell ref="U34:Y34"/>
    <mergeCell ref="AC34:AJ34"/>
    <mergeCell ref="L35:M35"/>
    <mergeCell ref="B46:C47"/>
    <mergeCell ref="B49:C51"/>
    <mergeCell ref="L50:O50"/>
    <mergeCell ref="U50:Z50"/>
    <mergeCell ref="B33:C35"/>
    <mergeCell ref="L122:S122"/>
    <mergeCell ref="B123:C125"/>
    <mergeCell ref="F124:F181"/>
    <mergeCell ref="B134:C135"/>
    <mergeCell ref="B138:C140"/>
    <mergeCell ref="B149:C150"/>
    <mergeCell ref="F183:F193"/>
    <mergeCell ref="B58:C59"/>
    <mergeCell ref="B62:C64"/>
    <mergeCell ref="B85:C86"/>
    <mergeCell ref="B122:C122"/>
    <mergeCell ref="B151:C151"/>
    <mergeCell ref="B153:C155"/>
    <mergeCell ref="B164:C165"/>
    <mergeCell ref="B168:C170"/>
    <mergeCell ref="B179:C180"/>
  </mergeCells>
  <conditionalFormatting sqref="B46">
    <cfRule type="expression" dxfId="82" priority="44">
      <formula>$B$46 &lt;&gt; "Okay to Proceed, See Summary tab for full breakdown"</formula>
    </cfRule>
  </conditionalFormatting>
  <conditionalFormatting sqref="B58">
    <cfRule type="expression" dxfId="81" priority="43">
      <formula>$B$58 &lt;&gt; "Okay to Proceed, See Summary tab for full breakdown"</formula>
    </cfRule>
  </conditionalFormatting>
  <conditionalFormatting sqref="B134:C135">
    <cfRule type="expression" dxfId="80" priority="13">
      <formula>$B$134 = ""</formula>
    </cfRule>
    <cfRule type="expression" dxfId="79" priority="42">
      <formula>$B$134&lt;&gt; "Okay to Proceed, See Summary tab for full breakdown"</formula>
    </cfRule>
  </conditionalFormatting>
  <conditionalFormatting sqref="B149:C150">
    <cfRule type="expression" dxfId="78" priority="8">
      <formula>$B$149 = ""</formula>
    </cfRule>
    <cfRule type="expression" dxfId="77" priority="41">
      <formula>$B$149 &lt;&gt; "Okay to Proceed, See Summary tab for full breakdown"</formula>
    </cfRule>
  </conditionalFormatting>
  <conditionalFormatting sqref="B164:C165">
    <cfRule type="expression" dxfId="76" priority="7">
      <formula>$B$164 = ""</formula>
    </cfRule>
    <cfRule type="expression" dxfId="75" priority="40">
      <formula>$B$164 &lt;&gt; "Okay to Proceed, See Summary tab for full breakdown"</formula>
    </cfRule>
  </conditionalFormatting>
  <conditionalFormatting sqref="B179:C180">
    <cfRule type="expression" dxfId="74" priority="6">
      <formula>$B$179 = ""</formula>
    </cfRule>
    <cfRule type="expression" dxfId="73" priority="39">
      <formula>$B$179 &lt;&gt; "Okay to Proceed, See Summary tab for full breakdown"</formula>
    </cfRule>
  </conditionalFormatting>
  <conditionalFormatting sqref="B133:C133">
    <cfRule type="expression" dxfId="72" priority="1">
      <formula>AND($C$11="Paystub and W-2(s)",$C$15="Yes",$C$17="Yes")</formula>
    </cfRule>
    <cfRule type="expression" dxfId="71" priority="20">
      <formula>$C$9 = "DU "</formula>
    </cfRule>
    <cfRule type="expression" dxfId="70" priority="35">
      <formula>$M$132 = ""</formula>
    </cfRule>
    <cfRule type="expression" dxfId="69" priority="36">
      <formula>AND($M$132&lt;10,$C$9="LPA ")</formula>
    </cfRule>
  </conditionalFormatting>
  <conditionalFormatting sqref="B148:C148">
    <cfRule type="expression" dxfId="68" priority="19">
      <formula xml:space="preserve"> $C$11= "Paystub and W-2(s)"</formula>
    </cfRule>
    <cfRule type="expression" dxfId="67" priority="33">
      <formula>$M$148 = ""</formula>
    </cfRule>
    <cfRule type="expression" dxfId="66" priority="34">
      <formula>AND($M$148&lt;10,$C$9="LPA ")</formula>
    </cfRule>
  </conditionalFormatting>
  <conditionalFormatting sqref="B163:C163">
    <cfRule type="expression" dxfId="65" priority="2">
      <formula>$C$9 = "DU "</formula>
    </cfRule>
    <cfRule type="expression" dxfId="64" priority="18">
      <formula xml:space="preserve"> $C$11= "Paystub and W-2(s)"</formula>
    </cfRule>
    <cfRule type="expression" dxfId="63" priority="31">
      <formula>$M$162 = ""</formula>
    </cfRule>
    <cfRule type="expression" dxfId="62" priority="32">
      <formula>AND($M$162&lt;10,$C$9="LPA ")</formula>
    </cfRule>
  </conditionalFormatting>
  <conditionalFormatting sqref="B178:C178">
    <cfRule type="expression" dxfId="61" priority="17">
      <formula xml:space="preserve"> $C$11= "Paystub and W-2(s)"</formula>
    </cfRule>
    <cfRule type="expression" dxfId="60" priority="29">
      <formula>$M$177 = ""</formula>
    </cfRule>
    <cfRule type="expression" dxfId="59" priority="30">
      <formula>AND($M$177&lt;10,$C$9="LPA ")</formula>
    </cfRule>
  </conditionalFormatting>
  <conditionalFormatting sqref="C57">
    <cfRule type="expression" dxfId="58" priority="27">
      <formula>$M$60 = ""</formula>
    </cfRule>
    <cfRule type="expression" dxfId="57" priority="28">
      <formula>AND($M$60&lt;10,$C$9="LPA ")</formula>
    </cfRule>
  </conditionalFormatting>
  <conditionalFormatting sqref="B57:C57">
    <cfRule type="expression" dxfId="56" priority="3">
      <formula>$C$9 = "DU "</formula>
    </cfRule>
    <cfRule type="expression" dxfId="55" priority="37">
      <formula>$M$60 = ""</formula>
    </cfRule>
    <cfRule type="expression" dxfId="54" priority="38">
      <formula>AND($M$60&lt;10,$C$9="LPA ")</formula>
    </cfRule>
  </conditionalFormatting>
  <conditionalFormatting sqref="B45">
    <cfRule type="expression" dxfId="53" priority="16">
      <formula xml:space="preserve"> AND($C$9 = "LPA ", $L$6 &lt;12,$C$15 = "No",$M$39 &gt;=10)</formula>
    </cfRule>
    <cfRule type="expression" dxfId="52" priority="25">
      <formula xml:space="preserve"> AND($C$9 = "LPA ", $L$6 &gt;=12,$C$15 = "Yes",$V$40 &gt;=10)</formula>
    </cfRule>
    <cfRule type="expression" dxfId="51" priority="26">
      <formula xml:space="preserve"> AND($C$9 = "LPA ", $L$6 &gt;=12,$C$15 = "No",$M$39 &gt;=10)</formula>
    </cfRule>
  </conditionalFormatting>
  <conditionalFormatting sqref="C45">
    <cfRule type="expression" dxfId="50" priority="15">
      <formula xml:space="preserve"> AND($C$9 = "LPA ", $L$6 &lt;12,$C$15 = "No",$M$39 &gt;=10)</formula>
    </cfRule>
    <cfRule type="expression" dxfId="49" priority="23">
      <formula xml:space="preserve"> AND($C$9 = "LPA ", $L$6 &gt;=12,$C$15 = "Yes",$V$40 &gt;=10)</formula>
    </cfRule>
    <cfRule type="expression" dxfId="48" priority="24">
      <formula xml:space="preserve"> AND($C$9 = "LPA ", $L$6 &gt;=12,$C$15 = "No",$M$39 &gt;=10)</formula>
    </cfRule>
  </conditionalFormatting>
  <conditionalFormatting sqref="B45:C45">
    <cfRule type="expression" dxfId="47" priority="21">
      <formula>AND($C$15 = "Yes",$V$40 = "")</formula>
    </cfRule>
    <cfRule type="expression" dxfId="46" priority="22">
      <formula>AND($C$15 = "No",$M$39 = "")</formula>
    </cfRule>
  </conditionalFormatting>
  <conditionalFormatting sqref="B58:C59">
    <cfRule type="expression" dxfId="45" priority="14">
      <formula>$B$58 = ""</formula>
    </cfRule>
  </conditionalFormatting>
  <conditionalFormatting sqref="C133">
    <cfRule type="expression" dxfId="44" priority="10">
      <formula>AND($L$6&gt;=12,$C$9="LPA ",$C$11="WVOE/VOI",$C$128="")</formula>
    </cfRule>
    <cfRule type="expression" dxfId="43" priority="12">
      <formula>AND($C$9="LPA ",$C$11="WVOE/VOI",$C$127="")</formula>
    </cfRule>
  </conditionalFormatting>
  <conditionalFormatting sqref="B133">
    <cfRule type="expression" dxfId="42" priority="9">
      <formula>AND($L$6&gt;=12,$C$9="LPA ",$C$11="WVOE/VOI",$C$128="")</formula>
    </cfRule>
    <cfRule type="expression" dxfId="41" priority="11">
      <formula>AND($C$9="LPA ",$C$11="WVOE/VOI",$C$127="")</formula>
    </cfRule>
  </conditionalFormatting>
  <conditionalFormatting sqref="C148">
    <cfRule type="expression" dxfId="40" priority="5">
      <formula>$C$9 = "DU "</formula>
    </cfRule>
  </conditionalFormatting>
  <conditionalFormatting sqref="B148">
    <cfRule type="expression" dxfId="39" priority="4">
      <formula>$C$9 = "DU "</formula>
    </cfRule>
  </conditionalFormatting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6082" r:id="rId4" name="CMDPositveFactor">
          <controlPr locked="0" defaultSize="0" autoLine="0" r:id="rId5">
            <anchor moveWithCells="1">
              <from>
                <xdr:col>3</xdr:col>
                <xdr:colOff>85725</xdr:colOff>
                <xdr:row>5</xdr:row>
                <xdr:rowOff>47625</xdr:rowOff>
              </from>
              <to>
                <xdr:col>5</xdr:col>
                <xdr:colOff>247650</xdr:colOff>
                <xdr:row>8</xdr:row>
                <xdr:rowOff>57150</xdr:rowOff>
              </to>
            </anchor>
          </controlPr>
        </control>
      </mc:Choice>
      <mc:Fallback>
        <control shapeId="46082" r:id="rId4" name="CMDPositveFactor"/>
      </mc:Fallback>
    </mc:AlternateContent>
    <mc:AlternateContent xmlns:mc="http://schemas.openxmlformats.org/markup-compatibility/2006">
      <mc:Choice Requires="x14">
        <control shapeId="46081" r:id="rId6" name="Button 1">
          <controlPr locked="0" defaultSize="0" print="0" autoFill="0" autoPict="0" macro="[0]!Button2_Click">
            <anchor moveWithCells="1" sizeWithCells="1">
              <from>
                <xdr:col>3</xdr:col>
                <xdr:colOff>190500</xdr:colOff>
                <xdr:row>3</xdr:row>
                <xdr:rowOff>57150</xdr:rowOff>
              </from>
              <to>
                <xdr:col>5</xdr:col>
                <xdr:colOff>114300</xdr:colOff>
                <xdr:row>4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6083" r:id="rId7" name="Button 3">
          <controlPr defaultSize="0" print="0" autoFill="0" autoPict="0">
            <anchor moveWithCells="1" sizeWithCells="1">
              <from>
                <xdr:col>8</xdr:col>
                <xdr:colOff>95250</xdr:colOff>
                <xdr:row>2</xdr:row>
                <xdr:rowOff>0</xdr:rowOff>
              </from>
              <to>
                <xdr:col>11</xdr:col>
                <xdr:colOff>1323975</xdr:colOff>
                <xdr:row>3</xdr:row>
                <xdr:rowOff>114300</xdr:rowOff>
              </to>
            </anchor>
          </controlPr>
        </control>
      </mc:Choice>
    </mc:AlternateContent>
  </controls>
  <tableParts count="2">
    <tablePart r:id="rId8"/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150FD0B-AFEA-4A49-9C09-52DCDE86E005}">
          <x14:formula1>
            <xm:f>'Lists (2)'!$D$2:$D$4</xm:f>
          </x14:formula1>
          <xm:sqref>C9</xm:sqref>
        </x14:dataValidation>
        <x14:dataValidation type="list" allowBlank="1" showInputMessage="1" showErrorMessage="1" xr:uid="{F4A874BC-A378-4C8C-85E3-554BB5E3D2FE}">
          <x14:formula1>
            <xm:f>'Lists (2)'!$B$2:$B$4</xm:f>
          </x14:formula1>
          <xm:sqref>C11</xm:sqref>
        </x14:dataValidation>
        <x14:dataValidation type="list" allowBlank="1" showInputMessage="1" showErrorMessage="1" xr:uid="{0FE19273-54AB-4892-BC60-E555FABE0501}">
          <x14:formula1>
            <xm:f>'Lists (2)'!$I$2:$I$4</xm:f>
          </x14:formula1>
          <xm:sqref>C13</xm:sqref>
        </x14:dataValidation>
        <x14:dataValidation type="list" allowBlank="1" showInputMessage="1" showErrorMessage="1" xr:uid="{2E7EA115-2B2C-442D-9F64-0917CC294136}">
          <x14:formula1>
            <xm:f>'Lists (2)'!$C$2:$C$4</xm:f>
          </x14:formula1>
          <xm:sqref>C15 C17 C45 C57 C133 C148 C163 C178 C12 C88 C89</xm:sqref>
        </x14:dataValidation>
        <x14:dataValidation type="list" allowBlank="1" showInputMessage="1" showErrorMessage="1" xr:uid="{A5816F12-B9B4-469D-980F-4689D33C33F6}">
          <x14:formula1>
            <xm:f>'Lists (2)'!$K$2:$K$5</xm:f>
          </x14:formula1>
          <xm:sqref>C19 C21:C22</xm:sqref>
        </x14:dataValidation>
        <x14:dataValidation type="list" allowBlank="1" showInputMessage="1" showErrorMessage="1" xr:uid="{3B1ED8A4-C0F4-4506-8E6B-671AB313DE50}">
          <x14:formula1>
            <xm:f>'Lists (2)'!$M$2:$M$6</xm:f>
          </x14:formula1>
          <xm:sqref>C20</xm:sqref>
        </x14:dataValidation>
        <x14:dataValidation type="list" allowBlank="1" showInputMessage="1" showErrorMessage="1" xr:uid="{BBCE66C3-EE2F-407C-8926-3DEABF3E76F1}">
          <x14:formula1>
            <xm:f>'Lists (2)'!$Q$2:$Q$8</xm:f>
          </x14:formula1>
          <xm:sqref>C27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E21F-8068-4ACE-B308-E22D1CAB1AF8}">
  <sheetPr codeName="Sheet28">
    <pageSetUpPr fitToPage="1"/>
  </sheetPr>
  <dimension ref="A1:V40"/>
  <sheetViews>
    <sheetView zoomScaleNormal="100" workbookViewId="0">
      <selection sqref="A1:A27"/>
    </sheetView>
  </sheetViews>
  <sheetFormatPr defaultColWidth="0" defaultRowHeight="15" customHeight="1" zeroHeight="1"/>
  <cols>
    <col min="1" max="2" width="7.125" style="10" customWidth="1"/>
    <col min="3" max="3" width="18.375" style="10" customWidth="1"/>
    <col min="4" max="8" width="7.125" style="10" customWidth="1"/>
    <col min="9" max="9" width="9.375" style="10" customWidth="1"/>
    <col min="10" max="11" width="8" style="10" customWidth="1"/>
    <col min="12" max="12" width="4.75" style="10" customWidth="1"/>
    <col min="13" max="16384" width="13.125" style="10" hidden="1"/>
  </cols>
  <sheetData>
    <row r="1" spans="1:22">
      <c r="A1" s="285"/>
      <c r="B1" s="293" t="s">
        <v>462</v>
      </c>
      <c r="C1" s="293"/>
      <c r="D1" s="293"/>
      <c r="E1" s="293"/>
      <c r="F1" s="293"/>
      <c r="G1" s="293"/>
      <c r="H1" s="293"/>
      <c r="I1" s="293"/>
      <c r="J1" s="293"/>
      <c r="K1" s="293"/>
      <c r="L1" s="285"/>
    </row>
    <row r="2" spans="1:22">
      <c r="A2" s="285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85"/>
      <c r="O2" s="10" t="s">
        <v>463</v>
      </c>
    </row>
    <row r="3" spans="1:22">
      <c r="A3" s="285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285"/>
      <c r="O3" s="10" t="str">
        <f>IF('Income Calculator'!M24="","",'Income Calculator'!M24 -1 &amp;" Total")</f>
        <v/>
      </c>
      <c r="P3" s="10" t="s">
        <v>464</v>
      </c>
    </row>
    <row r="4" spans="1:22">
      <c r="A4" s="285"/>
      <c r="B4" s="323"/>
      <c r="C4" s="324"/>
      <c r="D4" s="324"/>
      <c r="E4" s="324"/>
      <c r="F4" s="324"/>
      <c r="G4" s="324"/>
      <c r="H4" s="324"/>
      <c r="I4" s="324"/>
      <c r="J4" s="324"/>
      <c r="K4" s="325"/>
      <c r="L4" s="285"/>
      <c r="O4" s="10" t="str">
        <f>IF('Income Calculator'!M24="","",'Income Calculator'!M24 -2 &amp;" Total")</f>
        <v/>
      </c>
      <c r="P4" s="21"/>
    </row>
    <row r="5" spans="1:22">
      <c r="A5" s="285"/>
      <c r="B5" s="296" t="s">
        <v>465</v>
      </c>
      <c r="C5" s="296"/>
      <c r="D5" s="326" t="str">
        <f>IF('Income Calculator'!C4 = "","",'Income Calculator'!C4)</f>
        <v/>
      </c>
      <c r="E5" s="326"/>
      <c r="F5" s="294"/>
      <c r="G5" s="294"/>
      <c r="H5" s="296" t="s">
        <v>466</v>
      </c>
      <c r="I5" s="296"/>
      <c r="J5" s="327" t="str">
        <f>IF('Income Calculator'!C5="","",'Income Calculator'!C5)</f>
        <v/>
      </c>
      <c r="K5" s="327"/>
      <c r="L5" s="285"/>
      <c r="M5" s="10" t="s">
        <v>467</v>
      </c>
      <c r="N5" s="10" t="str">
        <f>IF('Income Calculator'!C11 = "Paystub and W-2(s)","PS","WVOE")</f>
        <v>WVOE</v>
      </c>
    </row>
    <row r="6" spans="1:22">
      <c r="A6" s="285"/>
      <c r="B6" s="296" t="s">
        <v>248</v>
      </c>
      <c r="C6" s="296"/>
      <c r="D6" s="328" t="str">
        <f>M28</f>
        <v/>
      </c>
      <c r="E6" s="328"/>
      <c r="F6" s="294"/>
      <c r="G6" s="294"/>
      <c r="H6" s="20"/>
      <c r="I6" s="20"/>
      <c r="J6" s="20"/>
      <c r="K6" s="113"/>
      <c r="L6" s="285"/>
      <c r="M6" s="10" t="s">
        <v>468</v>
      </c>
      <c r="N6" s="10" t="str">
        <f>IF('Income Calculator'!C13 = "Select One:","",'Income Calculator'!C13)</f>
        <v/>
      </c>
    </row>
    <row r="7" spans="1:22">
      <c r="A7" s="285"/>
      <c r="B7" s="296" t="s">
        <v>469</v>
      </c>
      <c r="C7" s="296"/>
      <c r="D7" s="302" t="str">
        <f ca="1">M30</f>
        <v/>
      </c>
      <c r="E7" s="326"/>
      <c r="F7" s="294"/>
      <c r="G7" s="294"/>
      <c r="H7" s="326" t="s">
        <v>470</v>
      </c>
      <c r="I7" s="326"/>
      <c r="J7" s="326"/>
      <c r="K7" s="326"/>
      <c r="L7" s="285"/>
      <c r="M7" s="10" t="s">
        <v>471</v>
      </c>
      <c r="N7" s="19">
        <f>IF(AND('Income Calculator'!C11="Paystub and W-2(s)",'Income Calculator'!M36=""),0,IF(AND('Income Calculator'!C11="WVOE/VOI",'Income Calculator'!M52=""),0,IF(AND('Income Calculator'!L6&gt;=12,'Income Calculator'!C11="Paystub and W-2(s)"),'Income Calculator'!M36,IF(AND('Income Calculator'!L6&lt;12,'Income Calculator'!C11="Paystub and W-2(s)"),'Income Calculator'!M36,IF(AND('Income Calculator'!L6&lt;12,'Income Calculator'!C11="Paystub and W-2(s)"),'Income Calculator'!M36,IF(AND('Income Calculator'!L6&gt;=12,'Income Calculator'!C11="WVOE/VOI"),'Income Calculator'!M52,IF(AND('Income Calculator'!L6&lt;12,'Income Calculator'!C11="WVOE/VOI"),'Income Calculator'!M53,0)))))))</f>
        <v>0</v>
      </c>
      <c r="Q7" s="10" t="s">
        <v>472</v>
      </c>
      <c r="R7" s="38" t="s">
        <v>473</v>
      </c>
    </row>
    <row r="8" spans="1:22">
      <c r="A8" s="285"/>
      <c r="B8" s="299" t="str">
        <f>O3</f>
        <v/>
      </c>
      <c r="C8" s="300"/>
      <c r="D8" s="320" t="str">
        <f ca="1">M32</f>
        <v/>
      </c>
      <c r="E8" s="321"/>
      <c r="F8" s="294"/>
      <c r="G8" s="294"/>
      <c r="H8" s="307" t="s">
        <v>474</v>
      </c>
      <c r="I8" s="307"/>
      <c r="J8" s="297">
        <f>N7</f>
        <v>0</v>
      </c>
      <c r="K8" s="297"/>
      <c r="L8" s="285"/>
      <c r="M8" s="10" t="s">
        <v>475</v>
      </c>
      <c r="N8" s="19">
        <f>IF(AND('Income Calculator'!C11="Paystub and W-2(s)",'Income Calculator'!O47=0),0,IF(AND('Income Calculator'!C11="WVOE/VOI",'Income Calculator'!M57=0),0,IF(AND('Income Calculator'!L6&gt;=12,'Income Calculator'!C11="Paystub and W-2(s)"),'Income Calculator'!O47,IF(AND('Income Calculator'!L6&lt;12,'Income Calculator'!C11="Paystub and W-2(s)"),'Income Calculator'!O49,IF(AND('Income Calculator'!L6&lt;12,'Income Calculator'!C11="WVOE/VOI"),'Income Calculator'!O58,IF(AND('Income Calculator'!L6&gt;=12,'Income Calculator'!C11="WVOE/VOI"),'Income Calculator'!M57,IF(AND('Income Calculator'!L6&lt;12,'Income Calculator'!C11="WVOE/VOI"),'Income Calculator'!M57,0)))))))</f>
        <v>0</v>
      </c>
    </row>
    <row r="9" spans="1:22">
      <c r="A9" s="285"/>
      <c r="B9" s="303" t="str">
        <f>O4</f>
        <v/>
      </c>
      <c r="C9" s="304"/>
      <c r="D9" s="305">
        <f ca="1">M34</f>
        <v>0</v>
      </c>
      <c r="E9" s="306"/>
      <c r="F9" s="294"/>
      <c r="G9" s="294"/>
      <c r="H9" s="307" t="str">
        <f>IF('Income Calculator'!L6 &gt;=12,"Previous Year + YTD","Current Job Monthly")</f>
        <v>Previous Year + YTD</v>
      </c>
      <c r="I9" s="307"/>
      <c r="J9" s="316">
        <f>N8</f>
        <v>0</v>
      </c>
      <c r="K9" s="316"/>
      <c r="L9" s="285"/>
      <c r="M9" s="10" t="s">
        <v>476</v>
      </c>
      <c r="N9" s="19">
        <f>IF(AND('Income Calculator'!L6&gt;=12,'Income Calculator'!C11="Paystub and W-2(s)",'Income Calculator'!M38=""),0,IF(AND('Income Calculator'!L6&gt;=12,'Income Calculator'!C11="Paystub and W-2(s)"),'Income Calculator'!O48,IF(AND('Income Calculator'!L6&lt;12,'Income Calculator'!C11="Paystub and W-2(s)"),'Income Calculator'!M49,IF(AND('Income Calculator'!L6&lt;12,'Income Calculator'!C11="WVOE/VOI"),'Income Calculator'!O59,IF(AND('Income Calculator'!L6&gt;=12,'Income Calculator'!C11="WVOE/VOI"),'Income Calculator'!M58,0)))))</f>
        <v>0</v>
      </c>
    </row>
    <row r="10" spans="1:22">
      <c r="A10" s="285"/>
      <c r="B10" s="317" t="s">
        <v>477</v>
      </c>
      <c r="C10" s="294"/>
      <c r="D10" s="310">
        <f>N10</f>
        <v>0</v>
      </c>
      <c r="E10" s="310"/>
      <c r="F10" s="17"/>
      <c r="G10" s="17"/>
      <c r="H10" s="318" t="str">
        <f>IF('Income Calculator'!L6 &gt;=12,"2 years + YTD","Prior Year Monthly")</f>
        <v>2 years + YTD</v>
      </c>
      <c r="I10" s="319"/>
      <c r="J10" s="320">
        <f>N9</f>
        <v>0</v>
      </c>
      <c r="K10" s="321"/>
      <c r="L10" s="285"/>
      <c r="M10" s="10" t="s">
        <v>478</v>
      </c>
      <c r="N10" s="39">
        <f>IF(AND('Income Calculator'!C11 = "Paystub and W-2(s)",'Income Calculator'!C15 = "Yes",'Income Calculator'!C17 = "No"),'Income Calculator'!C39,IF('Income Calculator'!C19 = "Income is Present, but we are not using",'Income Calculator'!C39,IF('Income Calculator'!C20 = "Income is Present, but we are not using", 'Income Calculator'!C39, IF('Income Calculator'!C21 = "Income is Present, but we are not using", 'Income Calculator'!C39,IF('Income Calculator'!C22 = "Income is Present, but we are not using",'Income Calculator'!C39,0)))))</f>
        <v>0</v>
      </c>
    </row>
    <row r="11" spans="1:22">
      <c r="A11" s="285"/>
      <c r="B11" s="308"/>
      <c r="C11" s="309"/>
      <c r="D11" s="310"/>
      <c r="E11" s="294"/>
      <c r="F11" s="20"/>
      <c r="G11" s="20"/>
      <c r="H11" s="20"/>
      <c r="I11" s="20"/>
      <c r="J11" s="20"/>
      <c r="K11" s="116"/>
      <c r="L11" s="285"/>
      <c r="O11" s="11" t="s">
        <v>479</v>
      </c>
    </row>
    <row r="12" spans="1:22">
      <c r="A12" s="285"/>
      <c r="B12" s="311" t="s">
        <v>480</v>
      </c>
      <c r="C12" s="312"/>
      <c r="D12" s="313">
        <f>IF(M36="",0,M36)</f>
        <v>0</v>
      </c>
      <c r="E12" s="313"/>
      <c r="F12" s="20"/>
      <c r="G12" s="20"/>
      <c r="H12" s="314" t="s">
        <v>481</v>
      </c>
      <c r="I12" s="314"/>
      <c r="J12" s="314"/>
      <c r="K12" s="315"/>
      <c r="L12" s="285"/>
      <c r="M12" s="10" t="s">
        <v>482</v>
      </c>
      <c r="N12" s="10" t="str">
        <f>IF('Income Calculator'!O49="","",'Income Calculator'!O49)</f>
        <v/>
      </c>
      <c r="O12" s="21"/>
      <c r="V12" s="10" t="s">
        <v>483</v>
      </c>
    </row>
    <row r="13" spans="1:22">
      <c r="A13" s="285"/>
      <c r="B13" s="104"/>
      <c r="C13" s="20"/>
      <c r="D13" s="20"/>
      <c r="E13" s="20"/>
      <c r="F13" s="20"/>
      <c r="G13" s="20"/>
      <c r="H13" s="20"/>
      <c r="I13" s="20"/>
      <c r="J13" s="20"/>
      <c r="K13" s="111"/>
      <c r="L13" s="285"/>
      <c r="M13" s="10" t="s">
        <v>484</v>
      </c>
      <c r="N13" s="19" t="str">
        <f ca="1">'Income Calculator'!M49</f>
        <v>Not accounted for</v>
      </c>
      <c r="O13" s="21"/>
      <c r="V13" s="10" t="s">
        <v>485</v>
      </c>
    </row>
    <row r="14" spans="1:22">
      <c r="A14" s="285"/>
      <c r="B14" s="296" t="s">
        <v>486</v>
      </c>
      <c r="C14" s="296"/>
      <c r="D14" s="297">
        <f ca="1">N17</f>
        <v>0</v>
      </c>
      <c r="E14" s="297"/>
      <c r="F14" s="20"/>
      <c r="G14" s="20"/>
      <c r="H14" s="20"/>
      <c r="I14" s="20"/>
      <c r="J14" s="20"/>
      <c r="K14" s="111"/>
      <c r="L14" s="285"/>
      <c r="O14" s="21"/>
      <c r="V14" s="10" t="s">
        <v>487</v>
      </c>
    </row>
    <row r="15" spans="1:22">
      <c r="A15" s="285"/>
      <c r="B15" s="296" t="s">
        <v>488</v>
      </c>
      <c r="C15" s="296"/>
      <c r="D15" s="297">
        <f ca="1">N18</f>
        <v>0</v>
      </c>
      <c r="E15" s="297"/>
      <c r="F15" s="20"/>
      <c r="G15" s="20"/>
      <c r="H15" s="20"/>
      <c r="I15" s="20"/>
      <c r="J15" s="20"/>
      <c r="K15" s="111"/>
      <c r="L15" s="285"/>
      <c r="O15" s="40"/>
      <c r="V15" s="10" t="s">
        <v>489</v>
      </c>
    </row>
    <row r="16" spans="1:22">
      <c r="A16" s="285"/>
      <c r="B16" s="296" t="s">
        <v>490</v>
      </c>
      <c r="C16" s="296"/>
      <c r="D16" s="297">
        <f ca="1">N19</f>
        <v>0</v>
      </c>
      <c r="E16" s="297"/>
      <c r="F16" s="20"/>
      <c r="G16" s="20"/>
      <c r="H16" s="20"/>
      <c r="I16" s="20"/>
      <c r="J16" s="20"/>
      <c r="K16" s="111"/>
      <c r="L16" s="285"/>
      <c r="M16" s="10" t="s">
        <v>491</v>
      </c>
      <c r="O16" s="21"/>
      <c r="V16" s="10" t="s">
        <v>492</v>
      </c>
    </row>
    <row r="17" spans="1:21">
      <c r="A17" s="285"/>
      <c r="B17" s="296" t="s">
        <v>493</v>
      </c>
      <c r="C17" s="296"/>
      <c r="D17" s="302">
        <f ca="1">N20</f>
        <v>0</v>
      </c>
      <c r="E17" s="302"/>
      <c r="F17" s="294"/>
      <c r="G17" s="294"/>
      <c r="H17" s="294"/>
      <c r="I17" s="294"/>
      <c r="J17" s="294"/>
      <c r="K17" s="295"/>
      <c r="L17" s="285"/>
      <c r="M17" s="10" t="s">
        <v>494</v>
      </c>
      <c r="N17" s="19">
        <f ca="1">'Income Calculator'!C132</f>
        <v>0</v>
      </c>
      <c r="O17" s="21"/>
    </row>
    <row r="18" spans="1:21">
      <c r="A18" s="285"/>
      <c r="B18" s="103"/>
      <c r="C18" s="20"/>
      <c r="D18" s="20"/>
      <c r="E18" s="20"/>
      <c r="F18" s="20"/>
      <c r="G18" s="20"/>
      <c r="H18" s="20"/>
      <c r="I18" s="20"/>
      <c r="J18" s="20"/>
      <c r="K18" s="111"/>
      <c r="L18" s="285"/>
      <c r="M18" s="10" t="s">
        <v>495</v>
      </c>
      <c r="N18" s="19">
        <f ca="1">'Income Calculator'!C147</f>
        <v>0</v>
      </c>
      <c r="O18" s="21"/>
    </row>
    <row r="19" spans="1:21">
      <c r="A19" s="285"/>
      <c r="B19" s="296" t="s">
        <v>496</v>
      </c>
      <c r="C19" s="296"/>
      <c r="D19" s="297">
        <f ca="1">D12+D14+D15+D16+D17</f>
        <v>0</v>
      </c>
      <c r="E19" s="298"/>
      <c r="F19" s="20"/>
      <c r="G19" s="20"/>
      <c r="H19" s="20"/>
      <c r="I19" s="20"/>
      <c r="J19" s="20"/>
      <c r="K19" s="111"/>
      <c r="L19" s="285"/>
      <c r="M19" s="10" t="s">
        <v>497</v>
      </c>
      <c r="N19" s="19">
        <f ca="1">'Income Calculator'!C162</f>
        <v>0</v>
      </c>
      <c r="O19" s="41"/>
    </row>
    <row r="20" spans="1:21" ht="21" customHeight="1">
      <c r="A20" s="285"/>
      <c r="B20" s="104"/>
      <c r="C20" s="20"/>
      <c r="D20" s="20"/>
      <c r="E20" s="20"/>
      <c r="F20" s="20"/>
      <c r="G20" s="20"/>
      <c r="H20" s="20"/>
      <c r="I20" s="20"/>
      <c r="J20" s="20"/>
      <c r="K20" s="111"/>
      <c r="L20" s="285"/>
      <c r="M20" s="10" t="s">
        <v>498</v>
      </c>
      <c r="N20" s="19">
        <f ca="1">'Income Calculator'!C177</f>
        <v>0</v>
      </c>
      <c r="O20" s="42" t="s">
        <v>499</v>
      </c>
      <c r="P20" s="11" t="s">
        <v>500</v>
      </c>
    </row>
    <row r="21" spans="1:21" ht="15.75" customHeight="1">
      <c r="A21" s="285"/>
      <c r="B21" s="299" t="s">
        <v>501</v>
      </c>
      <c r="C21" s="300"/>
      <c r="D21" s="20"/>
      <c r="E21" s="20"/>
      <c r="F21" s="20"/>
      <c r="G21" s="20"/>
      <c r="H21" s="20"/>
      <c r="I21" s="20"/>
      <c r="J21" s="20"/>
      <c r="K21" s="111"/>
      <c r="L21" s="285"/>
      <c r="O21" s="28"/>
      <c r="P21" s="10" t="str">
        <f>IF(AND('Income Calculator'!C11="Paystub and W-2(s)",'Income Calculator'!O46="",'Income Calculator'!C15="No"),"",IF(AND('Income Calculator'!C11="WVOE/VOI",'Income Calculator'!O57=""),"",IF(AND('Income Calculator'!C11="Paystub and W-2(s)",'Income Calculator'!V41="",'Income Calculator'!C15="Yes"),"",IF(AND('Income Calculator'!C11="Paystub and W-2(s)",'Income Calculator'!O46&lt;=-50,'Income Calculator'!C15="No"),"Not stable",IF(AND('Income Calculator'!C11= "WVOE/VOI",'Income Calculator'!O57&lt;=-50),"Not stable",IF(AND('Income Calculator'!C11="Paystub and W-2(s)",'Income Calculator'!V41&lt;=-50,'Income Calculator'!C15="Yes"),"Not Stable","Stable"))))))</f>
        <v>Stable</v>
      </c>
      <c r="U21" s="10" t="s">
        <v>502</v>
      </c>
    </row>
    <row r="22" spans="1:21">
      <c r="A22" s="285"/>
      <c r="B22" s="104"/>
      <c r="C22" s="20"/>
      <c r="D22" s="20"/>
      <c r="E22" s="20"/>
      <c r="F22" s="20"/>
      <c r="G22" s="20"/>
      <c r="H22" s="20"/>
      <c r="I22" s="20"/>
      <c r="J22" s="20"/>
      <c r="K22" s="111"/>
      <c r="L22" s="285"/>
      <c r="O22" s="28"/>
      <c r="T22" s="10" t="s">
        <v>503</v>
      </c>
      <c r="U22" s="10" t="str">
        <f>IF(AND( 'Income Calculator'!L6 &gt;= 24,'Income Calculator'!C11 = "Paystub and W-2(s)", 'Income Calculator'!C15 = "No"),"Paystub and prior year W-2", IF(AND( 'Income Calculator'!L6 &gt;= 24,'Income Calculator'!C11 = "Paystub and W-2(s)", 'Income Calculator'!C15 = "Yes",'Income Calculator'!C17 = "No"),"Paystub and prior year W-2", IF(AND( 'Income Calculator'!L6 &gt;= 24,'Income Calculator'!C11 = "Paystub and W-2(s)", 'Income Calculator'!C15 = "Yes",'Income Calculator'!C17 = "Yes"),"Paystub and prior 2 years W-2", IF(AND( 'Income Calculator'!L6 &gt;= 24,'Income Calculator'!C11 = "WVOE/VOI"),"No additional documentation is needed outside of the WVOE/VOI",""))))</f>
        <v/>
      </c>
    </row>
    <row r="23" spans="1:21">
      <c r="A23" s="285"/>
      <c r="B23" s="105"/>
      <c r="C23" s="20"/>
      <c r="D23" s="20"/>
      <c r="E23" s="20"/>
      <c r="F23" s="20"/>
      <c r="G23" s="20"/>
      <c r="H23" s="20"/>
      <c r="I23" s="20"/>
      <c r="J23" s="20"/>
      <c r="K23" s="111"/>
      <c r="L23" s="285"/>
      <c r="M23" s="10" t="s">
        <v>504</v>
      </c>
      <c r="O23" s="28"/>
      <c r="P23" s="11" t="s">
        <v>505</v>
      </c>
      <c r="T23" s="43" t="s">
        <v>506</v>
      </c>
      <c r="U23" s="10" t="str">
        <f>IF(AND( 'Income Calculator'!C9 = "DU ", 'Income Calculator'!L6 &gt;=12,'Income Calculator'!L6 &lt; 24,'Income Calculator'!C11 = "Paystub and W-2(s)", 'Income Calculator'!C15 = "No", P4&gt;0),"Paystub and prior year W-2's from all employers", IF(AND('Income Calculator'!C9 = "DU ", 'Income Calculator'!L6 &gt;=12,'Income Calculator'!L6 &lt; 24,'Income Calculator'!C11 = "Paystub and W-2(s)", 'Income Calculator'!C15 = "No", P4=0),"No Positive Factors have been selected. In addition to Paystub and prior year W-2's from all employers," &amp; "documentation from previous employers to show that the variable income types being used have been received from those employers is required",IF(AND('Income Calculator'!C9 = "DU ", 'Income Calculator'!L6 &gt;=12,'Income Calculator'!L6 &lt; 24,'Income Calculator'!C11 = "Paystub and W-2(s)", 'Income Calculator'!C15 = "Yes",'Income Calculator'!C17 = "No", P4&gt;0),"Paystub and prior year W-2's from all employers", IF(AND('Income Calculator'!C9 = "DU ", 'Income Calculator'!L6 &gt;=12,'Income Calculator'!L6 &lt; 24,'Income Calculator'!C11 = "Paystub and W-2(s)", 'Income Calculator'!C15 = "Yes",'Income Calculator'!C17 = "No", P4=0),"No Positive Factors have been selected. In addition to Paystub and prior year W-2's from all employers," &amp; "documentation from previous employers to show that the variable income types being used have been received from those employers is required",IF(AND('Income Calculator'!C9 = "DU ", 'Income Calculator'!L6 &gt;=12,'Income Calculator'!L6 &lt; 24,'Income Calculator'!C11 = "Paystub and W-2(s)", 'Income Calculator'!C15 = "Yes",'Income Calculator'!C17 = "Yes", P4&gt;0),"Paystub and prior 2 years W-2's from all employers.", IF(AND('Income Calculator'!C9 = "DU ", 'Income Calculator'!L6 &gt;=12,'Income Calculator'!L6 &lt; 24,'Income Calculator'!C11 = "Paystub and W-2(s)", 'Income Calculator'!C15 = "Yes",'Income Calculator'!C17 = "Yes", P4=0),"No Positive Factors have been selected. In addition to a Paystub from the current employer and prior 2 years W-2(s) from all employers,"&amp;"documentation from previous employers to show that the variable income types being used have been received from those employers is required.", IF(AND('Income Calculator'!C9 = "DU ", 'Income Calculator'!L6 &gt;=12,'Income Calculator'!L6 &lt; 24,'Income Calculator'!C11 = "WVOE/VOI", 'Income Calculator'!C15 = "No", P4&gt;0),"WVOE from current employer and prior year W-2's from all previous employers", IF(AND('Income Calculator'!C9 = "DU ", 'Income Calculator'!L6 &gt;=12,'Income Calculator'!L6 &lt; 24,'Income Calculator'!C11 = "WVOE/VOI", 'Income Calculator'!C15 = "No", P4=0),"No Positive Factors have been selected. In addition to the WVOE and prior year W-2's from all previous employers," &amp; "documentation from previous employers to show that the variable income types being used have been received from those employers is required",IF(AND('Income Calculator'!C9 = "DU ", 'Income Calculator'!L6 &gt;=12,'Income Calculator'!L6 &lt; 24,'Income Calculator'!C11 = "WVOE/VOI", 'Income Calculator'!C15 = "Yes",'Income Calculator'!C17 = "No", P4&gt;0),"WVOE from current employer and prior year W-2's from all previous employers", IF(AND('Income Calculator'!C9 = "DU ", 'Income Calculator'!L6 &gt;=12,'Income Calculator'!L6 &lt; 24,'Income Calculator'!C11 = "WVOE/VOI", 'Income Calculator'!C15 = "Yes",'Income Calculator'!C17 = "No", P4=0),"No Positive Factors have been selected. In addition to WVOE and prior year W-2's from all previous employers," &amp; "documentation from previous employers to show that the variable income types being used have been received from those employers is required",IF(AND('Income Calculator'!C9 = "DU ", 'Income Calculator'!L6 &gt;=12,'Income Calculator'!L6 &lt; 24,'Income Calculator'!C11 = "WVOE/VOI", 'Income Calculator'!C15 = "Yes",'Income Calculator'!C17 = "Yes", P4&gt;0),"WVOE from current employer and prior year W-2's from all previous employers.",IF(AND('Income Calculator'!C9 = "DU ", 'Income Calculator'!L6 &gt;=12,'Income Calculator'!L6 &lt; 24,'Income Calculator'!C11 = "WVOE/VOI", 'Income Calculator'!C15 = "Yes",'Income Calculator'!C17 = "Yes", P4=0),"No Positive Factors have been selected. In addition to a WVOE from the current employer and prior 2 years W-2(s) from all previous employers,"&amp;"documentation from previous employers to show that the variable income types being used have been received from those employers is required.",IF(AND( 'Income Calculator'!C9 = "LPA ", 'Income Calculator'!L6 &gt;=12,'Income Calculator'!L6 &lt; 24,'Income Calculator'!C11 = "Paystub and W-2(s)", 'Income Calculator'!C15 = "No"),"Paystub and prior year W-2's from all employers", IF(AND('Income Calculator'!C9 = "LPA ", 'Income Calculator'!L6 &gt;=12,'Income Calculator'!L6 &lt; 24,'Income Calculator'!C11 = "Paystub and W-2(s)", 'Income Calculator'!C15 = "Yes",'Income Calculator'!C17 = "No"),"Paystub and prior year W-2's from all employers", IF(AND('Income Calculator'!C9 = "LPA ", 'Income Calculator'!L6 &gt;=12,'Income Calculator'!L6 &lt; 24,'Income Calculator'!C11 = "Paystub and W-2(s)", 'Income Calculator'!C15 = "Yes",'Income Calculator'!C17 = "Yes",P4&gt;0),"Paystub and prior 2 years W-2's from all employers.",IF(AND('Income Calculator'!C9 = "LPA ", 'Income Calculator'!L6 &gt;=12,'Income Calculator'!L6 &lt; 24,'Income Calculator'!C11 = "Paystub and W-2(s)", 'Income Calculator'!C15 = "Yes",'Income Calculator'!C17 = "Yes",P4=0),"No Positive Factors have been selected. In addition to a Paystub and W-2's from the current employer and prior 2 years W-2(s) from all previous employers, "&amp;"documentation from previous employers to show that the variable income types being used have been received from those employers is required.",IF(AND('Income Calculator'!C9 = "LPA ", 'Income Calculator'!L6 &gt;=12,'Income Calculator'!L6 &lt; 24,'Income Calculator'!C11 = "WVOE/VOI", 'Income Calculator'!C15 = "No"),"WVOE from current employer and prior year W-2's from all previous employers", IF(AND('Income Calculator'!C9 = "LPA ", 'Income Calculator'!L6 &gt;=12,'Income Calculator'!L6 &lt; 24,'Income Calculator'!C11 = "WVOE/VOI", 'Income Calculator'!C15 = "Yes",'Income Calculator'!C17 = "No"),"WVOE from current employer and prior year W-2's from all previous employers",IF(AND('Income Calculator'!C9 = "LPA ", 'Income Calculator'!L6 &gt;=12,'Income Calculator'!L6 &lt; 24,'Income Calculator'!C11 = "WVOE/VOI", 'Income Calculator'!C15 = "Yes",'Income Calculator'!C17 = "Yes",P4&gt;0),"WVOE from current employer and prior year W-2's from all previous employers.",IF(AND('Income Calculator'!C9 = "LPA ", 'Income Calculator'!L6 &gt;=12,'Income Calculator'!L6 &lt; 24,'Income Calculator'!C11 = "WVOE/VOI", 'Income Calculator'!C15 = "Yes",'Income Calculator'!C17 = "Yes",P4=0),"No Positive Factors have been selected. In addition to a WVOE from the current employer and prior 2 years W-2(s) from all previous employers,"&amp;"documentation from previous employers to show that the variable income types being used have been received from those employers is required.",""))))))))))))))))))))</f>
        <v/>
      </c>
    </row>
    <row r="24" spans="1:21">
      <c r="A24" s="285"/>
      <c r="B24" s="105"/>
      <c r="C24" s="20"/>
      <c r="D24" s="20"/>
      <c r="E24" s="20"/>
      <c r="F24" s="20"/>
      <c r="G24" s="20"/>
      <c r="H24" s="20"/>
      <c r="I24" s="20"/>
      <c r="J24" s="20"/>
      <c r="K24" s="111"/>
      <c r="L24" s="285"/>
      <c r="M24" s="21" t="b">
        <v>0</v>
      </c>
      <c r="O24" s="44"/>
      <c r="T24" s="10" t="s">
        <v>507</v>
      </c>
      <c r="U24" s="10" t="str">
        <f>IF(AND('Income Calculator'!C9 = "DU ", 'Income Calculator'!L6 &lt; 12,'Income Calculator'!C11 = "Paystub and W-2(s)", 'Income Calculator'!C15 = "No", P4 &gt; 0),"Paystub from current employer and prior year W-2's from all employers," &amp; "documentation to show the borrower received the variable income type(s) being used from their previous employer is required", IF(AND('Income Calculator'!C9 = "DU ", 'Income Calculator'!L6 &lt; 12,'Income Calculator'!C11 = "Paystub and W-2(s)", 'Income Calculator'!C15 = "No", P4 = 0),"Paystub from current employer and prior year W-2's from all employers. No positive factor(s) have been selected." &amp; " Documentation from all previous employers to show that the variable income types being used has been received from those employers is required", IF(AND('Income Calculator'!C9 = "DU ", 'Income Calculator'!L6 &lt; 12,'Income Calculator'!C11 = "Paystub and W-2(s)", 'Income Calculator'!C15 = "Yes",'Income Calculator'!C17 = "No", P4 &gt; 0),"Paystub from current employer and prior year W-2's from all employers." &amp; " Documentation to show the borrower received the variable income type(s) being used from their previous employer is required", IF(AND('Income Calculator'!C9 = "DU ", 'Income Calculator'!L6 &lt; 12,'Income Calculator'!C11 = "Paystub and W-2(s)", 'Income Calculator'!C15 = "Yes",'Income Calculator'!C17 = "No", P4 = 0),"Paystub from current employer and prior year W-2's from all employers. No positive factor(s) have been selected." &amp; " Documentation from all previous employers to show that the variable income types being used has been received from those employers is required",IF(AND('Income Calculator'!C9 = "DU ", 'Income Calculator'!L6 &lt; 12,'Income Calculator'!C11 = "Paystub and W-2(s)", 'Income Calculator'!C15 = "Yes",'Income Calculator'!C17 = "Yes", P4 &gt; 0),"Paystub from current employer and WVOE's or year end paystubs from all previous employers for the last 2 years", IF(AND('Income Calculator'!C9 = "DU ", 'Income Calculator'!L6 &lt; 12,'Income Calculator'!C11 = "Paystub and W-2(s)", 'Income Calculator'!C15 = "Yes",'Income Calculator'!C17 = "Yes", P4 = 0),"Paystub from current employer and WVOE's or year end paystubs from all previous employers for the last 2 years", IF(AND('Income Calculator'!C9 = "DU ", 'Income Calculator'!L6 &lt; 12,'Income Calculator'!C11 = "WVOE/VOI", 'Income Calculator'!C15 = "No",P4 &gt; 0),"WVOE/VOI from the current employer and W-2's from prior employers for the past year." &amp; " Documentation to show the borrower received the variable income type(s) being used from their previous employer is required",IF(AND('Income Calculator'!C9 = "DU ", 'Income Calculator'!L6 &lt; 12,'Income Calculator'!C11 = "WVOE/VOI", 'Income Calculator'!C15 = "No", P4 = 0), "WVOE/VOI from the current employer and W-2's from prior employers for the past year. No positive factor(s) have been selected." &amp; " Documentation from all previous employers to show that the variable income types being used has been received from those employers is required",IF(AND('Income Calculator'!C9 = "DU ", 'Income Calculator'!L6 &lt; 12,'Income Calculator'!C11 = "WVOE/VOI", 'Income Calculator'!C15 = "Yes",'Income Calculator'!C17 = "No", P4 &gt; 0),"WVOE/VOI from current employer and prior year W-2's from all employers." &amp; " Documentation to show the borrower received the variable income type(s) being used from their previous employer is required", IF(AND('Income Calculator'!C9 = "DU ", 'Income Calculator'!L6 &lt; 12,'Income Calculator'!C11 = "WVOE/VOI", 'Income Calculator'!C15 = "Yes",'Income Calculator'!C17 = "No", P4 = 0), "WVOE/VOI from current employer and prior year W-2's from all employers. No positive factor(s) have been selected." &amp; " Documentation from all previous employers to show that the variable income types being used has been received from those employers is required",IF(AND('Income Calculator'!C9 = "DU ", 'Income Calculator'!L6 &lt; 12,'Income Calculator'!C11 = "WVOE/VOI", 'Income Calculator'!C15 = "Yes",'Income Calculator'!C17 = "Yes", P4 &gt; 0), "WVOE/VOI from current employer and WVOE/VOI or year end paystubs from all previous employers for the last 2 years",IF(AND('Income Calculator'!C9 = "DU ", 'Income Calculator'!L6 &lt; 12,'Income Calculator'!C11 = "WVOE/VOI", 'Income Calculator'!C15 = "Yes",'Income Calculator'!C17 = "Yes", P4 = 0),"WVOE/VOI from current employer and WVOE/VOI or year end paystubs from all previous employers for the last 2 years",IF(AND('Income Calculator'!C9 = "LPA ", 'Income Calculator'!L6 &lt; 12,'Income Calculator'!C11 = "Paystub and W-2(s)", 'Income Calculator'!C15 = "No"),"Paystub from current employer and prior year W-2's from all employers," &amp; "documentation to show the borrower received the variable income type(s) being used from their previous employer is required", IF(AND('Income Calculator'!C9 = "LPA ", 'Income Calculator'!L6 &lt; 12,'Income Calculator'!C11 = "Paystub and W-2(s)", 'Income Calculator'!C15 = "Yes",'Income Calculator'!C17 = "No"),"Paystub from current employer and prior year W-2's from all employers." &amp; " Documentation to show the borrower received the variable income type(s) being used from their previous employer is required", IF(AND('Income Calculator'!C9 = "LPA ", 'Income Calculator'!L6 &lt; 12,'Income Calculator'!C11 = "Paystub and W-2(s)", 'Income Calculator'!C15 = "Yes",'Income Calculator'!C17 = "Yes"),"Paystub from current employer and WVOE's or year end paystubs from all previous employers for the last 2 years", IF(AND('Income Calculator'!C9 = "LPA ", 'Income Calculator'!L6 &lt; 12,'Income Calculator'!C11 = "WVOE/VOI", 'Income Calculator'!C15 = "No",P4 = 0),"WVOE/VOI from the current employer and W-2's from prior employers for the past year." &amp; "No positive factor(s) have been selected." &amp; " Documentation from all previous employers to show that the variable income types being used has been received from those employers is required", IF(AND('Income Calculator'!C9 = "LPA ", 'Income Calculator'!L6 &lt; 12,'Income Calculator'!C11 = "WVOE/VOI", 'Income Calculator'!C15 = "No", P4 &gt; 0),"WVOE/VOI from the current employer and W-2's from prior employers for the past year." &amp; " Documentation to show the borrower received the variable income type(s) being used from their previous employer is required.",IF(AND('Income Calculator'!C9 = "LPA ", 'Income Calculator'!L6 &lt; 12,'Income Calculator'!C11 = "WVOE/VOI", 'Income Calculator'!C15 = "Yes",'Income Calculator'!C17 = "No"),"WVOE/VOI from current employer and prior year W-2's from all employers." &amp; " Documentation to show the borrower received the variable income type(s) being used from their previous employer is required", IF(AND('Income Calculator'!C9 = "LPA ", 'Income Calculator'!L6 &lt; 12,'Income Calculator'!C11 = "WVOE/VOI", 'Income Calculator'!C15 = "Yes",'Income Calculator'!C17 = "Yes",P4&gt;0), "WVOE/VOI from current employer and WVOE/VOI or year end paystubs from all previous employers for the last 2 years", IF(AND('Income Calculator'!C9 = "LPA ", 'Income Calculator'!L6 &lt; 12,'Income Calculator'!C11 = "WVOE/VOI", 'Income Calculator'!C15 = "Yes",'Income Calculator'!C17 = "Yes",P4=0), "WVOE/VOI from current employer and WVOE/VOI or year end paystubs from all previous employers for the last 2 years." &amp; " No positive factor(s) have been selected." &amp; " Documentation from all previous employers to show that the variable income types being used has been received from those employers is required",""))))))))))))))))))))</f>
        <v/>
      </c>
    </row>
    <row r="25" spans="1:21">
      <c r="A25" s="285"/>
      <c r="B25" s="105"/>
      <c r="C25" s="20"/>
      <c r="D25" s="20"/>
      <c r="E25" s="20"/>
      <c r="F25" s="20"/>
      <c r="G25" s="20"/>
      <c r="H25" s="20"/>
      <c r="I25" s="20"/>
      <c r="J25" s="20"/>
      <c r="K25" s="111"/>
      <c r="L25" s="285"/>
      <c r="O25" s="28"/>
      <c r="T25" s="10" t="s">
        <v>508</v>
      </c>
      <c r="U25" s="10" t="str">
        <f>IF(P21 = "Not Stable","Income is declining more than 50%. Unless the decline is clearly justified, additional documentation (e.g. LOX from employer) is required to explain the decline.","")</f>
        <v/>
      </c>
    </row>
    <row r="26" spans="1:21">
      <c r="A26" s="285"/>
      <c r="B26" s="105"/>
      <c r="C26" s="20"/>
      <c r="D26" s="20"/>
      <c r="E26" s="20"/>
      <c r="F26" s="20"/>
      <c r="G26" s="20"/>
      <c r="H26" s="20"/>
      <c r="I26" s="20"/>
      <c r="J26" s="20"/>
      <c r="K26" s="111"/>
      <c r="L26" s="285"/>
      <c r="O26" s="28"/>
      <c r="T26" s="10" t="s">
        <v>509</v>
      </c>
      <c r="U26" s="10" t="str">
        <f ca="1">IF(AND('Income Calculator'!C15 = "Yes",'Income Calculator'!H20&gt;2,'Income Calculator'!C11 = "Paystub and W-2(s)",'Income Calculator'!C13 = "Variable"),"More than 2 variable income types are present and/or being used. Condition for WVOE to break out income.",IF(AND('Income Calculator'!C15 = "Yes",'Income Calculator'!H20&gt;2,'Income Calculator'!C11="Paystub and W-2(s)",'Income Calculator'!L6&gt;=12,'Income Calculator'!C11 = "Paystub and W-2(s)",'Income Calculator'!C13 = "Salary"),"More than 2 variable income type is being used, Condition for WVOE to break out income.",IF(AND('Income Calculator'!H20&gt;=2,'Income Calculator'!AD46 = "Decreasing",'Income Calculator'!C11="Paystub and W-2(s)"),"Total income is declining and 2 or more variable income types are being used. Condition for WVOE to breakout income",IF(AND('Income Calculator'!C11="Paystub and W-2(s)",'Income Calculator'!C13="Salary",'Income Calculator'!AC49="No"),"Condition for a WVOE to break out income as the W-2's cannot be backed into",""))))</f>
        <v/>
      </c>
    </row>
    <row r="27" spans="1:21">
      <c r="A27" s="285"/>
      <c r="B27" s="301"/>
      <c r="C27" s="294"/>
      <c r="D27" s="20"/>
      <c r="E27" s="20"/>
      <c r="F27" s="20"/>
      <c r="G27" s="20"/>
      <c r="H27" s="20"/>
      <c r="I27" s="20"/>
      <c r="J27" s="20"/>
      <c r="K27" s="111"/>
      <c r="L27" s="285"/>
      <c r="M27" s="45" t="s">
        <v>510</v>
      </c>
      <c r="O27" s="45"/>
      <c r="T27" s="10" t="s">
        <v>511</v>
      </c>
      <c r="U27" s="10" t="str">
        <f ca="1">IF(AND('Income Calculator'!C11 = "Paystub and W-2(S)",'Income Calculator'!B46="Cannot back into the W-2's. See summary page for more details"),"",IF(AND('Income Calculator'!C11 = "Paystub and W-2(S)",'Income Calculator'!B46&lt;&gt; "Okay to Proceed, See Summary tab for full breakdown"),'Income Calculator'!B46,IF(AND('Income Calculator'!C11 = "WVOE/VOI",'Income Calculator'!B58 &lt;&gt; "Okay to Proceed, See Summary tab for full breakdown"),'Income Calculator'!B58,IF(AND('Income Calculator'!C11 = "Paystub and W-2(S)",'Income Calculator'!C15 = "No",'Income Calculator'!O46&lt;-50),"The YTD has decreased"&amp;" "&amp;ROUND('Income Calculator'!O46,2)&amp;"%"&amp;" "&amp;"from last year's average. Condition for docuemntation to explain this decline",IF(AND('Income Calculator'!C11 = "Paystub and W-2(S)",'Income Calculator'!C15 = "Yes",'Income Calculator'!V41&lt;-50),"The YTD has decreased"&amp;" "&amp;ROUND('Income Calculator'!O46,2)&amp;"%"&amp;" "&amp;"from last year's average. Condition for docuemntation to explain this decline",IF(AND('Income Calculator'!C11 = "WVOE/VOI",'Income Calculator'!O57&lt;-50),"The YTD has decreased"&amp;" "&amp;ROUND('Income Calculator'!O57,2)&amp;"%"&amp;" "&amp;"from last year's average. Condition for docuemntation to explain this decline",""))))))</f>
        <v/>
      </c>
    </row>
    <row r="28" spans="1:21">
      <c r="A28" s="9"/>
      <c r="B28" s="106"/>
      <c r="C28" s="107"/>
      <c r="D28" s="9"/>
      <c r="E28" s="9"/>
      <c r="F28" s="9"/>
      <c r="G28" s="9"/>
      <c r="H28" s="9"/>
      <c r="I28" s="9"/>
      <c r="J28" s="9"/>
      <c r="K28" s="112"/>
      <c r="L28" s="285"/>
      <c r="M28" s="46" t="str">
        <f>IF('Income Calculator'!C24="","",'Income Calculator'!C24)</f>
        <v/>
      </c>
      <c r="O28" s="45"/>
      <c r="T28" s="10" t="s">
        <v>512</v>
      </c>
      <c r="U28" s="10" t="str">
        <f>IF(AND('Income Calculator'!C11 = "Paystub and W-2(s)",'Income Calculator'!M150 &gt; 0), "If Bonus is needed, condition for WVOE to break out income as we cannot back into the W-2(s)","")</f>
        <v/>
      </c>
    </row>
    <row r="29" spans="1:21">
      <c r="A29" s="9"/>
      <c r="B29" s="299" t="s">
        <v>513</v>
      </c>
      <c r="C29" s="300"/>
      <c r="D29" s="9"/>
      <c r="E29" s="9"/>
      <c r="F29" s="9"/>
      <c r="G29" s="9"/>
      <c r="H29" s="9"/>
      <c r="I29" s="9"/>
      <c r="J29" s="9"/>
      <c r="K29" s="112"/>
      <c r="L29" s="9"/>
      <c r="M29" s="10" t="s">
        <v>514</v>
      </c>
      <c r="O29" s="44"/>
      <c r="T29" s="10" t="s">
        <v>515</v>
      </c>
      <c r="U29" s="10" t="str">
        <f ca="1">IF('Income Calculator'!S127&lt;-50,"Overtime income has decreased"&amp;" "&amp;ROUND(ABS('Income Calculator'!S127),2)&amp;"%"&amp;" "&amp;"from last year's w-2 average. Condition for docuemntation to explain this decline.","")</f>
        <v/>
      </c>
    </row>
    <row r="30" spans="1:21" ht="23.25" customHeight="1">
      <c r="A30" s="9"/>
      <c r="B30" s="108"/>
      <c r="C30" s="9"/>
      <c r="D30" s="9"/>
      <c r="E30" s="9"/>
      <c r="F30" s="9"/>
      <c r="G30" s="9"/>
      <c r="H30" s="9"/>
      <c r="I30" s="9"/>
      <c r="J30" s="9"/>
      <c r="K30" s="112"/>
      <c r="L30" s="9"/>
      <c r="M30" s="19" t="str">
        <f ca="1">IF(AND('Income Calculator'!C11 = "Paystub and W-2(s)",'Income Calculator'!L6&gt;=12),'Income Calculator'!C36,IF(AND('Income Calculator'!C11 = "WVOE/VOI",'Income Calculator'!L6&gt;=24),'Income Calculator'!C52,IF(AND('Income Calculator'!C11 = "Paystub and W-2(s)",'Income Calculator'!L6&lt;12,'Income Calculator'!N13="No"),'Income Calculator'!C36,IF(AND('Income Calculator'!C11 = "Paystub and W-2(s)",'Income Calculator'!L6&lt;12,'Income Calculator'!N13="Yes"),'Income Calculator'!C36+'Income Calculator'!C65,IF(AND('Income Calculator'!C11 = "WVOE/VOI",'Income Calculator'!L6&lt;12,'Income Calculator'!N13="No"),'Income Calculator'!C52,IF(AND('Income Calculator'!C11 = "Paystub and W-2(s)",'Income Calculator'!L6&lt;12,'Income Calculator'!N13="Yes"),'Income Calculator'!C52+'Income Calculator'!C65,IF(AND('Income Calculator'!L6&lt;12,'Income Calculator'!C11="WVOE/VOI"),'Income Calculator'!C52,IF(AND('Income Calculator'!C11="WVOE/VOI",'Income Calculator'!L6&gt;=12),'Income Calculator'!C52,""))))))))</f>
        <v/>
      </c>
      <c r="O30" s="28"/>
      <c r="T30" s="10" t="s">
        <v>516</v>
      </c>
      <c r="U30" s="10" t="str">
        <f ca="1">IF('Income Calculator'!S142&lt;-50,"Bonus income has decreased"&amp;" "&amp;ROUND(ABS('Income Calculator'!S142),2)&amp;"%"&amp;" "&amp;"from last year's w-2 average. Condition for docuemntation to explain this decline.","")</f>
        <v/>
      </c>
    </row>
    <row r="31" spans="1:21">
      <c r="B31" s="109"/>
      <c r="C31" s="9"/>
      <c r="D31" s="9"/>
      <c r="E31" s="9"/>
      <c r="F31" s="9"/>
      <c r="G31" s="9"/>
      <c r="H31" s="9"/>
      <c r="I31" s="9"/>
      <c r="J31" s="9"/>
      <c r="K31" s="112"/>
      <c r="M31" s="10" t="s">
        <v>517</v>
      </c>
      <c r="O31" s="28"/>
      <c r="T31" s="10" t="s">
        <v>518</v>
      </c>
      <c r="U31" s="10" t="str">
        <f>IF('Income Calculator'!S157&lt;-50,"Commission income has decreased"&amp;" "&amp;ROUND(ABS('Income Calculator'!S157),2)&amp;"%"&amp;" "&amp;"from last year's w-2 average. Condition for docuemntation to explain this decline.","")</f>
        <v/>
      </c>
    </row>
    <row r="32" spans="1:21">
      <c r="A32" s="9"/>
      <c r="B32" s="109"/>
      <c r="C32" s="9"/>
      <c r="D32" s="9"/>
      <c r="E32" s="9"/>
      <c r="F32" s="9"/>
      <c r="G32" s="9"/>
      <c r="H32" s="9"/>
      <c r="I32" s="9"/>
      <c r="J32" s="9"/>
      <c r="K32" s="112"/>
      <c r="L32" s="285"/>
      <c r="M32" s="19" t="str">
        <f ca="1">IF(AND('Income Calculator'!C11="Paystub and W-2(s)",'Income Calculator'!L6&gt;=12),'Income Calculator'!C37,IF(AND('Income Calculator'!C11="WVOE/VOI",'Income Calculator'!L6&gt;=24),'Income Calculator'!C53,IF(AND('Income Calculator'!C11="Paystub and W-2(s)",'Income Calculator'!L6&lt;12,'Income Calculator'!N13="No"),'Income Calculator'!C37+'Income Calculator'!C68,IF(AND('Income Calculator'!C11="Paystub and W-2(s)",'Income Calculator'!L6&lt;12,'Income Calculator'!N13="Yes"),'Income Calculator'!C68,IF(AND('Income Calculator'!C11="WVOE/VOI",'Income Calculator'!L6&lt;12,'Income Calculator'!N13="No"),'Income Calculator'!C53+'Income Calculator'!C68,IF(AND('Income Calculator'!C11="Paystub and W-2(s)",'Income Calculator'!L6&lt;12,'Income Calculator'!N13="Yes"),'Income Calculator'!C68,IF(AND('Income Calculator'!L6&lt;12,'Income Calculator'!C11="WVOE/VOI"),'Income Calculator'!C53+'Income Calculator'!C68,IF(AND('Income Calculator'!C11="WVOE/VOI",'Income Calculator'!L6&gt;=12),'Income Calculator'!C53,""))))))))</f>
        <v/>
      </c>
      <c r="O32" s="28"/>
      <c r="T32" s="10" t="s">
        <v>519</v>
      </c>
      <c r="U32" s="10" t="str">
        <f>IF('Income Calculator'!S172&lt;-50,"Tip income has decreased"&amp;" "&amp;ROUND(ABS('Income Calculator'!S172),2)&amp;"%"&amp;" "&amp;"from last year's w-2 average. Condition for docuemntation to explain this decline.","")</f>
        <v/>
      </c>
    </row>
    <row r="33" spans="1:15">
      <c r="A33" s="9"/>
      <c r="B33" s="109"/>
      <c r="C33" s="9"/>
      <c r="D33" s="9"/>
      <c r="E33" s="9"/>
      <c r="F33" s="9"/>
      <c r="G33" s="9"/>
      <c r="H33" s="9"/>
      <c r="I33" s="9"/>
      <c r="J33" s="9"/>
      <c r="K33" s="112"/>
      <c r="L33" s="285"/>
      <c r="M33" s="10" t="s">
        <v>520</v>
      </c>
      <c r="O33" s="28"/>
    </row>
    <row r="34" spans="1:15">
      <c r="A34" s="9"/>
      <c r="B34" s="109"/>
      <c r="C34" s="9"/>
      <c r="D34" s="9"/>
      <c r="E34" s="9"/>
      <c r="F34" s="9"/>
      <c r="G34" s="9"/>
      <c r="H34" s="9"/>
      <c r="I34" s="9"/>
      <c r="J34" s="9"/>
      <c r="K34" s="112"/>
      <c r="L34" s="285"/>
      <c r="M34" s="19">
        <f ca="1">IF(AND('Income Calculator'!C11="Paystub and W-2(s)",'Income Calculator'!L6&gt;=12),'Income Calculator'!C38,IF(AND('Income Calculator'!C11="WVOE/VOI",'Income Calculator'!L6&gt;=24),'Income Calculator'!C54,IF(AND('Income Calculator'!C11="Paystub and W-2(s)",'Income Calculator'!L6&lt;12,'Income Calculator'!N13="No"),'Income Calculator'!C38+'Income Calculator'!C69,IF(AND('Income Calculator'!C11="Paystub and W-2(s)",'Income Calculator'!L6&lt;12,'Income Calculator'!N13="Yes"),'Income Calculator'!C69,IF(AND('Income Calculator'!C11="WVOE/VOI",'Income Calculator'!L6&lt;12,'Income Calculator'!N13="No"),'Income Calculator'!C54+'Income Calculator'!C69,IF(AND('Income Calculator'!C11="Paystub and W-2(s)",'Income Calculator'!L6&lt;12,'Income Calculator'!N13="Yes"),'Income Calculator'!C69,IF(AND('Income Calculator'!L6&lt;12,'Income Calculator'!C11="WVOE/VOI"),'Income Calculator'!C69,IF(AND('Income Calculator'!C11="WVOE/VOI",'Income Calculator'!L6&gt;=12,'Income Calculator'!L13="No"),'Income Calculator'!C53,IF(AND('Income Calculator'!C11="WVOE/VOI",'Income Calculator'!L6&gt;=12,'Income Calculator'!L13="Yes"),"Not Needed",0)))))))))</f>
        <v>0</v>
      </c>
      <c r="O34" s="28"/>
    </row>
    <row r="35" spans="1:15" ht="15" customHeight="1">
      <c r="A35" s="9"/>
      <c r="B35" s="109"/>
      <c r="C35" s="9"/>
      <c r="D35" s="9"/>
      <c r="E35" s="9"/>
      <c r="F35" s="9"/>
      <c r="G35" s="9"/>
      <c r="H35" s="9"/>
      <c r="I35" s="9"/>
      <c r="J35" s="9"/>
      <c r="K35" s="112"/>
      <c r="L35" s="285"/>
      <c r="M35" s="10" t="s">
        <v>521</v>
      </c>
      <c r="O35" s="28"/>
    </row>
    <row r="36" spans="1:15" ht="15" customHeight="1">
      <c r="A36" s="9"/>
      <c r="B36" s="109"/>
      <c r="C36" s="9"/>
      <c r="D36" s="9"/>
      <c r="E36" s="9"/>
      <c r="F36" s="9"/>
      <c r="G36" s="9"/>
      <c r="H36" s="9"/>
      <c r="I36" s="9"/>
      <c r="J36" s="9"/>
      <c r="K36" s="112"/>
      <c r="L36" s="285"/>
      <c r="M36" s="19" t="str">
        <f>IF(AND('Income Calculator'!C11 = "Paystub and W-2(s)",'Income Calculator'!C13 = "Salary"),0,IF(AND('Income Calculator'!C11 = "WVOE/VOI",'Income Calculator'!C13 = "Salary"),0,IF('Income Calculator'!C11 = "Paystub and W-2(s)",'Income Calculator'!C44,IF('Income Calculator'!C11 = "Select One:","",IF( 'Income Calculator'!C11 = "WVOE/VOI",'Income Calculator'!C56,IF('Income Calculator'!C13 = "Salary",0,""))))))</f>
        <v/>
      </c>
    </row>
    <row r="37" spans="1:15" ht="15" customHeight="1">
      <c r="A37" s="9"/>
      <c r="B37" s="109"/>
      <c r="C37" s="9"/>
      <c r="D37" s="9"/>
      <c r="E37" s="9"/>
      <c r="F37" s="9"/>
      <c r="G37" s="9"/>
      <c r="H37" s="9"/>
      <c r="I37" s="9"/>
      <c r="J37" s="9"/>
      <c r="K37" s="112"/>
      <c r="L37" s="285"/>
      <c r="N37" s="9"/>
    </row>
    <row r="38" spans="1:15" ht="15" customHeight="1">
      <c r="A38" s="9"/>
      <c r="B38" s="109"/>
      <c r="C38" s="9"/>
      <c r="D38" s="9"/>
      <c r="E38" s="9"/>
      <c r="F38" s="9"/>
      <c r="G38" s="9"/>
      <c r="H38" s="9"/>
      <c r="I38" s="9"/>
      <c r="J38" s="9"/>
      <c r="K38" s="112"/>
      <c r="L38" s="285"/>
    </row>
    <row r="39" spans="1:15" ht="15" customHeight="1">
      <c r="A39" s="9"/>
      <c r="B39" s="109"/>
      <c r="C39" s="9"/>
      <c r="D39" s="9"/>
      <c r="E39" s="9"/>
      <c r="F39" s="9"/>
      <c r="G39" s="9"/>
      <c r="H39" s="9"/>
      <c r="I39" s="9"/>
      <c r="J39" s="9"/>
      <c r="K39" s="112"/>
      <c r="L39" s="285"/>
    </row>
    <row r="40" spans="1:15" ht="16.5" customHeight="1">
      <c r="A40" s="47"/>
      <c r="B40" s="106"/>
      <c r="C40" s="107"/>
      <c r="D40" s="107"/>
      <c r="E40" s="107"/>
      <c r="F40" s="107"/>
      <c r="G40" s="107"/>
      <c r="H40" s="107"/>
      <c r="I40" s="107"/>
      <c r="J40" s="107"/>
      <c r="K40" s="110"/>
      <c r="L40" s="285"/>
    </row>
  </sheetData>
  <sheetProtection algorithmName="SHA-512" hashValue="Wgj6XmyLmxQxdza6bqpAuwlR4VkW25VFx5le22sSAvD+URU7oulFdqur6jbawXG6meZdwkYMJov7w57Lqagvtg==" saltValue="uMx0rcDL/iEunaLN+LSrdw==" spinCount="100000" sheet="1" selectLockedCells="1"/>
  <mergeCells count="46">
    <mergeCell ref="A1:A27"/>
    <mergeCell ref="B1:K3"/>
    <mergeCell ref="L1:L28"/>
    <mergeCell ref="B4:K4"/>
    <mergeCell ref="B5:C5"/>
    <mergeCell ref="D5:E5"/>
    <mergeCell ref="F5:G9"/>
    <mergeCell ref="H5:I5"/>
    <mergeCell ref="J5:K5"/>
    <mergeCell ref="B6:C6"/>
    <mergeCell ref="D6:E6"/>
    <mergeCell ref="B7:C7"/>
    <mergeCell ref="D7:E7"/>
    <mergeCell ref="H7:K7"/>
    <mergeCell ref="B8:C8"/>
    <mergeCell ref="D8:E8"/>
    <mergeCell ref="H8:I8"/>
    <mergeCell ref="J8:K8"/>
    <mergeCell ref="J9:K9"/>
    <mergeCell ref="B10:C10"/>
    <mergeCell ref="D10:E10"/>
    <mergeCell ref="H10:I10"/>
    <mergeCell ref="J10:K10"/>
    <mergeCell ref="B14:C14"/>
    <mergeCell ref="D14:E14"/>
    <mergeCell ref="B9:C9"/>
    <mergeCell ref="D9:E9"/>
    <mergeCell ref="H9:I9"/>
    <mergeCell ref="B11:C11"/>
    <mergeCell ref="D11:E11"/>
    <mergeCell ref="B12:C12"/>
    <mergeCell ref="D12:E12"/>
    <mergeCell ref="H12:K12"/>
    <mergeCell ref="B15:C15"/>
    <mergeCell ref="D15:E15"/>
    <mergeCell ref="B16:C16"/>
    <mergeCell ref="D16:E16"/>
    <mergeCell ref="B17:C17"/>
    <mergeCell ref="D17:E17"/>
    <mergeCell ref="L32:L40"/>
    <mergeCell ref="F17:K17"/>
    <mergeCell ref="B19:C19"/>
    <mergeCell ref="D19:E19"/>
    <mergeCell ref="B21:C21"/>
    <mergeCell ref="B27:C27"/>
    <mergeCell ref="B29:C29"/>
  </mergeCells>
  <conditionalFormatting sqref="H10:K10">
    <cfRule type="expression" dxfId="34" priority="35">
      <formula>$U$6 = "PS+1"</formula>
    </cfRule>
  </conditionalFormatting>
  <conditionalFormatting sqref="H12:K12">
    <cfRule type="expression" dxfId="33" priority="33">
      <formula xml:space="preserve"> $P$4 &gt;0</formula>
    </cfRule>
    <cfRule type="expression" dxfId="32" priority="34">
      <formula>$P$4 = 0</formula>
    </cfRule>
  </conditionalFormatting>
  <conditionalFormatting sqref="D10:E10">
    <cfRule type="expression" dxfId="31" priority="2">
      <formula>AND($N$10 = 0,$N$9 = 0)</formula>
    </cfRule>
    <cfRule type="expression" dxfId="30" priority="10">
      <formula xml:space="preserve"> AND($M$34 = "Not Needed",$N$10 = 0)</formula>
    </cfRule>
    <cfRule type="expression" dxfId="29" priority="20">
      <formula>$N$5 = "WVOE"</formula>
    </cfRule>
    <cfRule type="expression" dxfId="28" priority="25">
      <formula>$N$10 &gt;0</formula>
    </cfRule>
  </conditionalFormatting>
  <conditionalFormatting sqref="B10:C10">
    <cfRule type="expression" dxfId="27" priority="3">
      <formula>AND($N$10 = 0,$N$9 = 0)</formula>
    </cfRule>
    <cfRule type="expression" dxfId="26" priority="11">
      <formula xml:space="preserve"> AND($M$34 = "Not Needed",$N$10 = 0)</formula>
    </cfRule>
    <cfRule type="expression" dxfId="25" priority="21">
      <formula>$N$5 = "WVOE"</formula>
    </cfRule>
    <cfRule type="expression" dxfId="24" priority="26">
      <formula>$N$10 &gt;0</formula>
    </cfRule>
    <cfRule type="expression" dxfId="23" priority="27">
      <formula>$N$10 = "none"</formula>
    </cfRule>
    <cfRule type="expression" dxfId="22" priority="32">
      <formula xml:space="preserve"> AND($N$10 = 0,$D$9 &gt; 0)</formula>
    </cfRule>
  </conditionalFormatting>
  <conditionalFormatting sqref="B9">
    <cfRule type="expression" dxfId="21" priority="31">
      <formula xml:space="preserve"> AND($D$9 = 0, $D$8 &gt; 0)</formula>
    </cfRule>
  </conditionalFormatting>
  <conditionalFormatting sqref="D9">
    <cfRule type="expression" dxfId="20" priority="30">
      <formula>AND($D$9 = 0, $D$8 &gt; 0)</formula>
    </cfRule>
  </conditionalFormatting>
  <conditionalFormatting sqref="D12">
    <cfRule type="expression" dxfId="19" priority="29">
      <formula>$N$6 = "Yes"</formula>
    </cfRule>
  </conditionalFormatting>
  <conditionalFormatting sqref="B12:C12">
    <cfRule type="expression" dxfId="18" priority="22">
      <formula>$M$36 &gt;0</formula>
    </cfRule>
    <cfRule type="expression" dxfId="17" priority="28">
      <formula>$N$6 = "Yes"</formula>
    </cfRule>
  </conditionalFormatting>
  <conditionalFormatting sqref="B11:C11">
    <cfRule type="expression" dxfId="16" priority="19" stopIfTrue="1">
      <formula>$N$5 = "WVOE"</formula>
    </cfRule>
    <cfRule type="expression" dxfId="15" priority="24">
      <formula>$N$10 &gt;0</formula>
    </cfRule>
  </conditionalFormatting>
  <conditionalFormatting sqref="D12:E12">
    <cfRule type="expression" dxfId="14" priority="1">
      <formula>$D$12 = 0</formula>
    </cfRule>
    <cfRule type="expression" dxfId="13" priority="23">
      <formula>$M$36 &gt;0</formula>
    </cfRule>
  </conditionalFormatting>
  <conditionalFormatting sqref="H10:I10">
    <cfRule type="expression" dxfId="12" priority="6">
      <formula>$N$6 = "Salary"</formula>
    </cfRule>
    <cfRule type="expression" dxfId="11" priority="18">
      <formula>$N$9 = 0</formula>
    </cfRule>
  </conditionalFormatting>
  <conditionalFormatting sqref="J10:K10">
    <cfRule type="expression" dxfId="10" priority="5">
      <formula>$N$6 = "Salary"</formula>
    </cfRule>
    <cfRule type="expression" dxfId="9" priority="17">
      <formula>$N$9 = 0</formula>
    </cfRule>
  </conditionalFormatting>
  <conditionalFormatting sqref="D9:E9">
    <cfRule type="expression" dxfId="8" priority="13">
      <formula>$M$34 = "Not Needed"</formula>
    </cfRule>
    <cfRule type="expression" dxfId="7" priority="14">
      <formula>$M$34 = 0</formula>
    </cfRule>
    <cfRule type="expression" dxfId="6" priority="16">
      <formula>$N$9 &gt;= 0</formula>
    </cfRule>
  </conditionalFormatting>
  <conditionalFormatting sqref="B9:E9">
    <cfRule type="expression" dxfId="5" priority="15">
      <formula>$B$9 = ""</formula>
    </cfRule>
  </conditionalFormatting>
  <conditionalFormatting sqref="B9:C9">
    <cfRule type="expression" dxfId="4" priority="4">
      <formula>$N$9 = 0</formula>
    </cfRule>
    <cfRule type="expression" dxfId="3" priority="12">
      <formula>$M$34 = "Not Needed"</formula>
    </cfRule>
  </conditionalFormatting>
  <conditionalFormatting sqref="H7:K7">
    <cfRule type="expression" dxfId="2" priority="9">
      <formula>$N$6 = "Salary"</formula>
    </cfRule>
  </conditionalFormatting>
  <conditionalFormatting sqref="H8:I9">
    <cfRule type="expression" dxfId="1" priority="8">
      <formula>$N$6 = "Salary"</formula>
    </cfRule>
  </conditionalFormatting>
  <conditionalFormatting sqref="J8:K9">
    <cfRule type="expression" dxfId="0" priority="7">
      <formula>$N$6 = "Salary"</formula>
    </cfRule>
  </conditionalFormatting>
  <pageMargins left="0.7" right="0.7" top="0.75" bottom="0.75" header="0.3" footer="0.3"/>
  <pageSetup scale="84" orientation="landscape" r:id="rId1"/>
  <drawing r:id="rId2"/>
  <legacyDrawing r:id="rId3"/>
  <controls>
    <mc:AlternateContent xmlns:mc="http://schemas.openxmlformats.org/markup-compatibility/2006">
      <mc:Choice Requires="x14">
        <control shapeId="47105" r:id="rId4" name="TxtDoc">
          <controlPr locked="0" defaultSize="0" autoFill="0" autoLine="0" r:id="rId5">
            <anchor moveWithCells="1">
              <from>
                <xdr:col>1</xdr:col>
                <xdr:colOff>38100</xdr:colOff>
                <xdr:row>16</xdr:row>
                <xdr:rowOff>161925</xdr:rowOff>
              </from>
              <to>
                <xdr:col>10</xdr:col>
                <xdr:colOff>638175</xdr:colOff>
                <xdr:row>22</xdr:row>
                <xdr:rowOff>161925</xdr:rowOff>
              </to>
            </anchor>
          </controlPr>
        </control>
      </mc:Choice>
      <mc:Fallback>
        <control shapeId="47105" r:id="rId4" name="TxtDoc"/>
      </mc:Fallback>
    </mc:AlternateContent>
    <mc:AlternateContent xmlns:mc="http://schemas.openxmlformats.org/markup-compatibility/2006">
      <mc:Choice Requires="x14">
        <control shapeId="47106" r:id="rId6" name="TxtComment">
          <controlPr locked="0" defaultSize="0" autoLine="0" r:id="rId7">
            <anchor moveWithCells="1">
              <from>
                <xdr:col>1</xdr:col>
                <xdr:colOff>38100</xdr:colOff>
                <xdr:row>12</xdr:row>
                <xdr:rowOff>57150</xdr:rowOff>
              </from>
              <to>
                <xdr:col>10</xdr:col>
                <xdr:colOff>638175</xdr:colOff>
                <xdr:row>22</xdr:row>
                <xdr:rowOff>161925</xdr:rowOff>
              </to>
            </anchor>
          </controlPr>
        </control>
      </mc:Choice>
      <mc:Fallback>
        <control shapeId="47106" r:id="rId6" name="TxtComment"/>
      </mc:Fallback>
    </mc:AlternateContent>
    <mc:AlternateContent xmlns:mc="http://schemas.openxmlformats.org/markup-compatibility/2006">
      <mc:Choice Requires="x14">
        <control shapeId="47107" r:id="rId8" name="LblPoistiveFactor">
          <controlPr defaultSize="0" autoFill="0" autoLine="0" r:id="rId9">
            <anchor moveWithCells="1">
              <from>
                <xdr:col>7</xdr:col>
                <xdr:colOff>0</xdr:colOff>
                <xdr:row>11</xdr:row>
                <xdr:rowOff>57150</xdr:rowOff>
              </from>
              <to>
                <xdr:col>10</xdr:col>
                <xdr:colOff>657225</xdr:colOff>
                <xdr:row>18</xdr:row>
                <xdr:rowOff>95250</xdr:rowOff>
              </to>
            </anchor>
          </controlPr>
        </control>
      </mc:Choice>
      <mc:Fallback>
        <control shapeId="47107" r:id="rId8" name="LblPoistiveFactor"/>
      </mc:Fallback>
    </mc:AlternateContent>
    <mc:AlternateContent xmlns:mc="http://schemas.openxmlformats.org/markup-compatibility/2006">
      <mc:Choice Requires="x14">
        <control shapeId="47108" r:id="rId10" name="Check Box 4">
          <controlPr locked="0" defaultSize="0" autoFill="0" autoLine="0" autoPict="0">
            <anchor moveWithCells="1">
              <from>
                <xdr:col>9</xdr:col>
                <xdr:colOff>114300</xdr:colOff>
                <xdr:row>19</xdr:row>
                <xdr:rowOff>247650</xdr:rowOff>
              </from>
              <to>
                <xdr:col>10</xdr:col>
                <xdr:colOff>647700</xdr:colOff>
                <xdr:row>21</xdr:row>
                <xdr:rowOff>0</xdr:rowOff>
              </to>
            </anchor>
          </controlPr>
        </control>
      </mc:Choice>
    </mc:AlternateContent>
  </control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EAB15-D4F2-4E20-94DE-621FFC682626}">
  <sheetPr codeName="Sheet29"/>
  <dimension ref="B2:Q8"/>
  <sheetViews>
    <sheetView topLeftCell="B1" workbookViewId="0">
      <selection activeCell="E17" sqref="E17"/>
    </sheetView>
  </sheetViews>
  <sheetFormatPr defaultColWidth="8.875" defaultRowHeight="15"/>
  <cols>
    <col min="1" max="1" width="8.875" style="10"/>
    <col min="2" max="2" width="26.25" style="10" customWidth="1"/>
    <col min="3" max="3" width="22.75" style="10" customWidth="1"/>
    <col min="4" max="4" width="15.625" style="10" customWidth="1"/>
    <col min="5" max="5" width="9.625" style="10" customWidth="1"/>
    <col min="6" max="16384" width="8.875" style="10"/>
  </cols>
  <sheetData>
    <row r="2" spans="2:17">
      <c r="B2" s="10" t="s">
        <v>226</v>
      </c>
      <c r="C2" s="10" t="s">
        <v>226</v>
      </c>
      <c r="D2" s="10" t="s">
        <v>226</v>
      </c>
      <c r="E2" s="10" t="s">
        <v>226</v>
      </c>
      <c r="I2" s="10" t="s">
        <v>522</v>
      </c>
      <c r="K2" s="10" t="s">
        <v>226</v>
      </c>
      <c r="M2" s="10" t="s">
        <v>226</v>
      </c>
      <c r="Q2" s="10" t="s">
        <v>522</v>
      </c>
    </row>
    <row r="3" spans="2:17">
      <c r="B3" s="10" t="s">
        <v>523</v>
      </c>
      <c r="C3" s="10" t="s">
        <v>46</v>
      </c>
      <c r="D3" s="10" t="s">
        <v>524</v>
      </c>
      <c r="E3" s="10" t="s">
        <v>46</v>
      </c>
      <c r="I3" s="10" t="s">
        <v>525</v>
      </c>
      <c r="K3" s="10" t="s">
        <v>46</v>
      </c>
      <c r="M3" s="10" t="s">
        <v>526</v>
      </c>
      <c r="Q3" s="10" t="s">
        <v>527</v>
      </c>
    </row>
    <row r="4" spans="2:17">
      <c r="B4" s="10" t="s">
        <v>528</v>
      </c>
      <c r="C4" s="10" t="s">
        <v>47</v>
      </c>
      <c r="D4" s="10" t="s">
        <v>529</v>
      </c>
      <c r="E4" s="10" t="s">
        <v>47</v>
      </c>
      <c r="I4" s="10" t="s">
        <v>530</v>
      </c>
      <c r="K4" s="10" t="s">
        <v>47</v>
      </c>
      <c r="M4" s="10" t="s">
        <v>531</v>
      </c>
      <c r="Q4" s="10" t="s">
        <v>532</v>
      </c>
    </row>
    <row r="5" spans="2:17">
      <c r="E5" s="10" t="s">
        <v>533</v>
      </c>
      <c r="K5" s="10" t="s">
        <v>534</v>
      </c>
      <c r="M5" s="10" t="s">
        <v>47</v>
      </c>
      <c r="Q5" s="10" t="s">
        <v>535</v>
      </c>
    </row>
    <row r="6" spans="2:17">
      <c r="M6" s="10" t="s">
        <v>534</v>
      </c>
      <c r="Q6" s="10" t="s">
        <v>536</v>
      </c>
    </row>
    <row r="7" spans="2:17">
      <c r="Q7" s="10" t="s">
        <v>537</v>
      </c>
    </row>
    <row r="8" spans="2:17">
      <c r="Q8" s="10" t="s">
        <v>538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FB597-AF36-4BD6-8BCE-9D18C56EA05F}">
  <sheetPr codeName="Sheet25"/>
  <dimension ref="C11:E13"/>
  <sheetViews>
    <sheetView workbookViewId="0">
      <selection activeCell="G11" sqref="G11"/>
    </sheetView>
  </sheetViews>
  <sheetFormatPr defaultRowHeight="14.25"/>
  <cols>
    <col min="3" max="3" width="10.75" customWidth="1"/>
    <col min="5" max="5" width="11.875" customWidth="1"/>
    <col min="7" max="7" width="8.875" customWidth="1"/>
  </cols>
  <sheetData>
    <row r="11" spans="3:5">
      <c r="C11" t="s">
        <v>29</v>
      </c>
      <c r="E11" t="s">
        <v>29</v>
      </c>
    </row>
    <row r="12" spans="3:5">
      <c r="C12" t="s">
        <v>23</v>
      </c>
      <c r="E12" t="s">
        <v>46</v>
      </c>
    </row>
    <row r="13" spans="3:5">
      <c r="C13" t="s">
        <v>24</v>
      </c>
      <c r="E1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7EDD2-DF7E-450B-A42D-F08EF78348A5}">
  <sheetPr codeName="Sheet3"/>
  <dimension ref="A1:I39"/>
  <sheetViews>
    <sheetView workbookViewId="0">
      <selection activeCell="E7" sqref="E7:G7"/>
    </sheetView>
  </sheetViews>
  <sheetFormatPr defaultColWidth="0" defaultRowHeight="14.25" zeroHeight="1"/>
  <cols>
    <col min="1" max="1" width="8.875" customWidth="1"/>
    <col min="2" max="2" width="8.125" customWidth="1"/>
    <col min="3" max="3" width="9.375" customWidth="1"/>
    <col min="4" max="9" width="8.875" customWidth="1"/>
    <col min="10" max="16384" width="8.875" hidden="1"/>
  </cols>
  <sheetData>
    <row r="1" spans="1:9">
      <c r="A1" s="143" t="s">
        <v>4</v>
      </c>
      <c r="B1" s="143"/>
      <c r="C1" s="143"/>
      <c r="D1" s="143"/>
      <c r="E1" s="143"/>
      <c r="F1" s="143"/>
      <c r="G1" s="143"/>
      <c r="H1" s="143"/>
      <c r="I1" s="143"/>
    </row>
    <row r="2" spans="1:9">
      <c r="A2" s="143"/>
      <c r="B2" s="143"/>
      <c r="C2" s="143"/>
      <c r="D2" s="143"/>
      <c r="E2" s="143"/>
      <c r="F2" s="143"/>
      <c r="G2" s="143"/>
      <c r="H2" s="143"/>
      <c r="I2" s="143"/>
    </row>
    <row r="3" spans="1:9">
      <c r="A3" s="143"/>
      <c r="B3" s="143"/>
      <c r="C3" s="143"/>
      <c r="D3" s="143"/>
      <c r="E3" s="143"/>
      <c r="F3" s="143"/>
      <c r="G3" s="143"/>
      <c r="H3" s="143"/>
      <c r="I3" s="143"/>
    </row>
    <row r="4" spans="1:9">
      <c r="A4" s="143"/>
      <c r="B4" s="143"/>
      <c r="C4" s="143"/>
      <c r="D4" s="143"/>
      <c r="E4" s="143"/>
      <c r="F4" s="143"/>
      <c r="G4" s="143"/>
      <c r="H4" s="143"/>
      <c r="I4" s="143"/>
    </row>
    <row r="5" spans="1:9">
      <c r="A5" s="152" t="s">
        <v>5</v>
      </c>
      <c r="B5" s="152"/>
      <c r="C5" s="152"/>
      <c r="D5" s="152"/>
      <c r="E5" s="152"/>
      <c r="F5" s="152"/>
      <c r="G5" s="152"/>
      <c r="H5" s="152"/>
      <c r="I5" s="152"/>
    </row>
    <row r="6" spans="1:9">
      <c r="A6" s="49"/>
      <c r="B6" s="49"/>
      <c r="C6" s="49"/>
      <c r="D6" s="49"/>
      <c r="E6" s="49"/>
      <c r="F6" s="49"/>
      <c r="G6" s="49"/>
      <c r="H6" s="49"/>
      <c r="I6" s="49"/>
    </row>
    <row r="7" spans="1:9">
      <c r="A7" s="49"/>
      <c r="B7" s="64"/>
      <c r="C7" s="153" t="s">
        <v>0</v>
      </c>
      <c r="D7" s="154"/>
      <c r="E7" s="155"/>
      <c r="F7" s="156"/>
      <c r="G7" s="157"/>
      <c r="H7" s="49"/>
      <c r="I7" s="49"/>
    </row>
    <row r="8" spans="1:9">
      <c r="A8" s="49"/>
      <c r="B8" s="64"/>
      <c r="C8" s="153" t="s">
        <v>1</v>
      </c>
      <c r="D8" s="154"/>
      <c r="E8" s="155"/>
      <c r="F8" s="156"/>
      <c r="G8" s="157"/>
      <c r="H8" s="49"/>
      <c r="I8" s="49"/>
    </row>
    <row r="9" spans="1:9">
      <c r="A9" s="49"/>
      <c r="B9" s="49"/>
      <c r="C9" s="49"/>
      <c r="D9" s="49"/>
      <c r="E9" s="49"/>
      <c r="F9" s="49"/>
      <c r="G9" s="49"/>
      <c r="H9" s="49"/>
      <c r="I9" s="49"/>
    </row>
    <row r="10" spans="1:9">
      <c r="A10" s="49"/>
      <c r="B10" s="49"/>
      <c r="C10" s="49"/>
      <c r="D10" s="49"/>
      <c r="E10" s="49"/>
      <c r="F10" s="49"/>
      <c r="G10" s="49"/>
      <c r="H10" s="49"/>
      <c r="I10" s="49"/>
    </row>
    <row r="11" spans="1:9">
      <c r="A11" s="49"/>
      <c r="B11" s="64"/>
      <c r="C11" s="153" t="s">
        <v>6</v>
      </c>
      <c r="D11" s="154"/>
      <c r="E11" s="159"/>
      <c r="F11" s="160"/>
      <c r="G11" s="161"/>
      <c r="H11" s="49"/>
      <c r="I11" s="49"/>
    </row>
    <row r="12" spans="1:9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15">
      <c r="A13" s="49"/>
      <c r="B13" s="64"/>
      <c r="C13" s="153" t="s">
        <v>7</v>
      </c>
      <c r="D13" s="154"/>
      <c r="E13" s="162">
        <f>E11*2</f>
        <v>0</v>
      </c>
      <c r="F13" s="163"/>
      <c r="G13" s="164"/>
      <c r="H13" s="49"/>
      <c r="I13" s="49"/>
    </row>
    <row r="14" spans="1:9">
      <c r="A14" s="49"/>
      <c r="B14" s="49"/>
      <c r="C14" s="49"/>
      <c r="D14" s="49"/>
      <c r="E14" s="49"/>
      <c r="F14" s="49"/>
      <c r="G14" s="49"/>
      <c r="H14" s="49"/>
      <c r="I14" s="49"/>
    </row>
    <row r="15" spans="1:9">
      <c r="A15" s="158" t="s">
        <v>548</v>
      </c>
      <c r="B15" s="158"/>
      <c r="C15" s="158"/>
      <c r="D15" s="158"/>
      <c r="E15" s="158"/>
      <c r="F15" s="158"/>
      <c r="G15" s="158"/>
      <c r="H15" s="158"/>
      <c r="I15" s="158"/>
    </row>
    <row r="17" customFormat="1" hidden="1"/>
    <row r="18" customFormat="1" hidden="1"/>
    <row r="19" customFormat="1" hidden="1"/>
    <row r="20" customFormat="1" hidden="1"/>
    <row r="21" customFormat="1" hidden="1"/>
    <row r="22" customFormat="1" hidden="1"/>
    <row r="23" customFormat="1" hidden="1"/>
    <row r="24" customFormat="1" hidden="1"/>
    <row r="25" customFormat="1" hidden="1"/>
    <row r="26" customFormat="1" hidden="1"/>
    <row r="27" customFormat="1" hidden="1"/>
    <row r="28" customFormat="1" hidden="1"/>
    <row r="29" customFormat="1" hidden="1"/>
    <row r="30" customFormat="1" hidden="1"/>
    <row r="31" customFormat="1" hidden="1"/>
    <row r="32" customFormat="1" hidden="1"/>
    <row r="33" customFormat="1" hidden="1"/>
    <row r="34" customFormat="1" hidden="1"/>
    <row r="35" customFormat="1" hidden="1"/>
    <row r="36" customFormat="1" hidden="1"/>
    <row r="37" customFormat="1" hidden="1"/>
    <row r="38" customFormat="1" hidden="1"/>
    <row r="39" customFormat="1" hidden="1"/>
  </sheetData>
  <sheetProtection algorithmName="SHA-512" hashValue="keZ8Ga+oN4DPOfGaL8HIE5yZxU+jo5UG2g4BYeS3nAe3fwKk245fc3C+t6Op+n+bI09o/sJfe3IcPPx9tHQZZw==" saltValue="qYeooksqufTn+4foWHaylg==" spinCount="100000" sheet="1" objects="1" scenarios="1" selectLockedCells="1"/>
  <mergeCells count="11">
    <mergeCell ref="A15:I15"/>
    <mergeCell ref="E7:G7"/>
    <mergeCell ref="E8:G8"/>
    <mergeCell ref="E11:G11"/>
    <mergeCell ref="E13:G13"/>
    <mergeCell ref="C13:D13"/>
    <mergeCell ref="A1:I4"/>
    <mergeCell ref="A5:I5"/>
    <mergeCell ref="C7:D7"/>
    <mergeCell ref="C8:D8"/>
    <mergeCell ref="C11:D1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locked="0" defaultSize="0" print="0" autoFill="0" autoPict="0" macro="[0]!FullTime_Click">
                <anchor moveWithCells="1" sizeWithCells="1">
                  <from>
                    <xdr:col>7</xdr:col>
                    <xdr:colOff>390525</xdr:colOff>
                    <xdr:row>6</xdr:row>
                    <xdr:rowOff>161925</xdr:rowOff>
                  </from>
                  <to>
                    <xdr:col>8</xdr:col>
                    <xdr:colOff>590550</xdr:colOff>
                    <xdr:row>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4F30E-BCAE-43EF-AA8E-4510996E1645}">
  <sheetPr codeName="Sheet4"/>
  <dimension ref="A1:I39"/>
  <sheetViews>
    <sheetView workbookViewId="0">
      <selection activeCell="E7" sqref="E7:G7"/>
    </sheetView>
  </sheetViews>
  <sheetFormatPr defaultColWidth="0" defaultRowHeight="16.5" customHeight="1" zeroHeight="1"/>
  <cols>
    <col min="1" max="1" width="8.875" customWidth="1"/>
    <col min="2" max="2" width="8.125" customWidth="1"/>
    <col min="3" max="3" width="9.375" customWidth="1"/>
    <col min="4" max="9" width="8.875" customWidth="1"/>
    <col min="10" max="16384" width="8.875" hidden="1"/>
  </cols>
  <sheetData>
    <row r="1" spans="1:9" ht="14.25">
      <c r="A1" s="143" t="s">
        <v>9</v>
      </c>
      <c r="B1" s="143"/>
      <c r="C1" s="143"/>
      <c r="D1" s="143"/>
      <c r="E1" s="143"/>
      <c r="F1" s="143"/>
      <c r="G1" s="143"/>
      <c r="H1" s="143"/>
      <c r="I1" s="143"/>
    </row>
    <row r="2" spans="1:9" ht="14.25">
      <c r="A2" s="143"/>
      <c r="B2" s="143"/>
      <c r="C2" s="143"/>
      <c r="D2" s="143"/>
      <c r="E2" s="143"/>
      <c r="F2" s="143"/>
      <c r="G2" s="143"/>
      <c r="H2" s="143"/>
      <c r="I2" s="143"/>
    </row>
    <row r="3" spans="1:9" ht="14.25">
      <c r="A3" s="143"/>
      <c r="B3" s="143"/>
      <c r="C3" s="143"/>
      <c r="D3" s="143"/>
      <c r="E3" s="143"/>
      <c r="F3" s="143"/>
      <c r="G3" s="143"/>
      <c r="H3" s="143"/>
      <c r="I3" s="143"/>
    </row>
    <row r="4" spans="1:9" ht="14.25">
      <c r="A4" s="143"/>
      <c r="B4" s="143"/>
      <c r="C4" s="143"/>
      <c r="D4" s="143"/>
      <c r="E4" s="143"/>
      <c r="F4" s="143"/>
      <c r="G4" s="143"/>
      <c r="H4" s="143"/>
      <c r="I4" s="143"/>
    </row>
    <row r="5" spans="1:9" ht="14.25">
      <c r="A5" s="169" t="s">
        <v>10</v>
      </c>
      <c r="B5" s="169"/>
      <c r="C5" s="169"/>
      <c r="D5" s="169"/>
      <c r="E5" s="169"/>
      <c r="F5" s="169"/>
      <c r="G5" s="169"/>
      <c r="H5" s="169"/>
      <c r="I5" s="169"/>
    </row>
    <row r="6" spans="1:9" ht="14.25">
      <c r="A6" s="49"/>
      <c r="B6" s="49"/>
      <c r="C6" s="49"/>
      <c r="D6" s="49"/>
      <c r="E6" s="49"/>
      <c r="F6" s="49"/>
      <c r="G6" s="49"/>
      <c r="H6" s="49"/>
      <c r="I6" s="49"/>
    </row>
    <row r="7" spans="1:9" ht="14.25">
      <c r="A7" s="49"/>
      <c r="B7" s="64"/>
      <c r="C7" s="153" t="s">
        <v>0</v>
      </c>
      <c r="D7" s="166"/>
      <c r="E7" s="170"/>
      <c r="F7" s="156"/>
      <c r="G7" s="157"/>
      <c r="H7" s="49"/>
      <c r="I7" s="49"/>
    </row>
    <row r="8" spans="1:9" ht="14.25">
      <c r="A8" s="49"/>
      <c r="B8" s="64"/>
      <c r="C8" s="153" t="s">
        <v>1</v>
      </c>
      <c r="D8" s="166"/>
      <c r="E8" s="170"/>
      <c r="F8" s="156"/>
      <c r="G8" s="157"/>
      <c r="H8" s="49"/>
      <c r="I8" s="49"/>
    </row>
    <row r="9" spans="1:9" ht="14.25">
      <c r="A9" s="49"/>
      <c r="B9" s="49"/>
      <c r="C9" s="49"/>
      <c r="D9" s="49"/>
      <c r="E9" s="49"/>
      <c r="F9" s="49"/>
      <c r="G9" s="49"/>
      <c r="H9" s="49"/>
      <c r="I9" s="49"/>
    </row>
    <row r="10" spans="1:9" ht="14.25">
      <c r="A10" s="49"/>
      <c r="B10" s="49"/>
      <c r="C10" s="49"/>
      <c r="D10" s="49"/>
      <c r="E10" s="49"/>
      <c r="F10" s="49"/>
      <c r="G10" s="49"/>
      <c r="H10" s="49"/>
      <c r="I10" s="49"/>
    </row>
    <row r="11" spans="1:9" ht="14.25">
      <c r="A11" s="49"/>
      <c r="B11" s="64"/>
      <c r="C11" s="153" t="s">
        <v>14</v>
      </c>
      <c r="D11" s="166"/>
      <c r="E11" s="167"/>
      <c r="F11" s="160"/>
      <c r="G11" s="161"/>
      <c r="H11" s="49"/>
      <c r="I11" s="49"/>
    </row>
    <row r="12" spans="1:9" ht="14.25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15">
      <c r="A13" s="49"/>
      <c r="B13" s="64"/>
      <c r="C13" s="153" t="s">
        <v>7</v>
      </c>
      <c r="D13" s="166"/>
      <c r="E13" s="168">
        <f>(E11*26)/12</f>
        <v>0</v>
      </c>
      <c r="F13" s="163"/>
      <c r="G13" s="164"/>
      <c r="H13" s="49"/>
      <c r="I13" s="49"/>
    </row>
    <row r="14" spans="1:9" ht="14.25">
      <c r="A14" s="49"/>
      <c r="B14" s="49"/>
      <c r="C14" s="49"/>
      <c r="D14" s="49"/>
      <c r="E14" s="49"/>
      <c r="F14" s="49"/>
      <c r="G14" s="49"/>
      <c r="H14" s="49"/>
      <c r="I14" s="49"/>
    </row>
    <row r="15" spans="1:9" ht="14.25">
      <c r="A15" s="165" t="s">
        <v>548</v>
      </c>
      <c r="B15" s="165"/>
      <c r="C15" s="165"/>
      <c r="D15" s="165"/>
      <c r="E15" s="165"/>
      <c r="F15" s="165"/>
      <c r="G15" s="165"/>
      <c r="H15" s="165"/>
      <c r="I15" s="165"/>
    </row>
    <row r="17" customFormat="1" ht="16.5" hidden="1" customHeight="1"/>
    <row r="18" customFormat="1" ht="16.5" hidden="1" customHeight="1"/>
    <row r="19" customFormat="1" ht="16.5" hidden="1" customHeight="1"/>
    <row r="20" customFormat="1" ht="16.5" hidden="1" customHeight="1"/>
    <row r="21" customFormat="1" ht="16.5" hidden="1" customHeight="1"/>
    <row r="22" customFormat="1" ht="16.5" hidden="1" customHeight="1"/>
    <row r="23" customFormat="1" ht="16.5" hidden="1" customHeight="1"/>
    <row r="24" customFormat="1" ht="16.5" hidden="1" customHeight="1"/>
    <row r="25" customFormat="1" ht="16.5" hidden="1" customHeight="1"/>
    <row r="26" customFormat="1" ht="16.5" hidden="1" customHeight="1"/>
    <row r="27" customFormat="1" ht="16.5" hidden="1" customHeight="1"/>
    <row r="28" customFormat="1" ht="16.5" hidden="1" customHeight="1"/>
    <row r="29" customFormat="1" ht="16.5" hidden="1" customHeight="1"/>
    <row r="30" customFormat="1" ht="16.5" hidden="1" customHeight="1"/>
    <row r="31" customFormat="1" ht="16.5" hidden="1" customHeight="1"/>
    <row r="32" customFormat="1" ht="16.5" hidden="1" customHeight="1"/>
    <row r="33" customFormat="1" ht="16.5" hidden="1" customHeight="1"/>
    <row r="34" customFormat="1" ht="16.5" hidden="1" customHeight="1"/>
    <row r="35" customFormat="1" ht="16.5" hidden="1" customHeight="1"/>
    <row r="36" customFormat="1" ht="16.5" hidden="1" customHeight="1"/>
    <row r="37" customFormat="1" ht="16.5" hidden="1" customHeight="1"/>
    <row r="38" customFormat="1" ht="16.5" hidden="1" customHeight="1"/>
    <row r="39" customFormat="1" ht="16.5" hidden="1" customHeight="1"/>
  </sheetData>
  <sheetProtection algorithmName="SHA-512" hashValue="xMWLh6fzCvQTC4b+dpdKjEEIU1rf1nayaZI7M9t5fn0yh2HqOf3xOsf8gWjpupe9pGZcAAK9EGw4FmPtIKFUmA==" saltValue="uztXDQQF4UOaB7xFUMHjIw==" spinCount="100000" sheet="1" objects="1" scenarios="1" selectLockedCells="1"/>
  <mergeCells count="11">
    <mergeCell ref="A1:I4"/>
    <mergeCell ref="A5:I5"/>
    <mergeCell ref="C7:D7"/>
    <mergeCell ref="E7:G7"/>
    <mergeCell ref="C8:D8"/>
    <mergeCell ref="E8:G8"/>
    <mergeCell ref="A15:I15"/>
    <mergeCell ref="C11:D11"/>
    <mergeCell ref="E11:G11"/>
    <mergeCell ref="C13:D13"/>
    <mergeCell ref="E13:G1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3" name="Button 3">
              <controlPr locked="0" defaultSize="0" print="0" autoFill="0" autoPict="0" macro="[0]!FullTime_Click">
                <anchor moveWithCells="1" sizeWithCells="1">
                  <from>
                    <xdr:col>7</xdr:col>
                    <xdr:colOff>390525</xdr:colOff>
                    <xdr:row>6</xdr:row>
                    <xdr:rowOff>161925</xdr:rowOff>
                  </from>
                  <to>
                    <xdr:col>8</xdr:col>
                    <xdr:colOff>590550</xdr:colOff>
                    <xdr:row>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FC98-88C5-488B-9D79-0E28DA9D03D1}">
  <sheetPr codeName="Sheet5"/>
  <dimension ref="A1:I39"/>
  <sheetViews>
    <sheetView workbookViewId="0">
      <selection activeCell="E7" sqref="E7:G7"/>
    </sheetView>
  </sheetViews>
  <sheetFormatPr defaultColWidth="0" defaultRowHeight="16.5" customHeight="1" zeroHeight="1"/>
  <cols>
    <col min="1" max="1" width="8.875" customWidth="1"/>
    <col min="2" max="2" width="8.125" customWidth="1"/>
    <col min="3" max="3" width="9.375" customWidth="1"/>
    <col min="4" max="9" width="8.875" customWidth="1"/>
    <col min="10" max="16384" width="8.875" hidden="1"/>
  </cols>
  <sheetData>
    <row r="1" spans="1:9" ht="14.25">
      <c r="A1" s="143" t="s">
        <v>12</v>
      </c>
      <c r="B1" s="143"/>
      <c r="C1" s="143"/>
      <c r="D1" s="143"/>
      <c r="E1" s="143"/>
      <c r="F1" s="143"/>
      <c r="G1" s="143"/>
      <c r="H1" s="143"/>
      <c r="I1" s="143"/>
    </row>
    <row r="2" spans="1:9" ht="14.25">
      <c r="A2" s="143"/>
      <c r="B2" s="143"/>
      <c r="C2" s="143"/>
      <c r="D2" s="143"/>
      <c r="E2" s="143"/>
      <c r="F2" s="143"/>
      <c r="G2" s="143"/>
      <c r="H2" s="143"/>
      <c r="I2" s="143"/>
    </row>
    <row r="3" spans="1:9" ht="14.25">
      <c r="A3" s="143"/>
      <c r="B3" s="143"/>
      <c r="C3" s="143"/>
      <c r="D3" s="143"/>
      <c r="E3" s="143"/>
      <c r="F3" s="143"/>
      <c r="G3" s="143"/>
      <c r="H3" s="143"/>
      <c r="I3" s="143"/>
    </row>
    <row r="4" spans="1:9" ht="14.25">
      <c r="A4" s="143"/>
      <c r="B4" s="143"/>
      <c r="C4" s="143"/>
      <c r="D4" s="143"/>
      <c r="E4" s="143"/>
      <c r="F4" s="143"/>
      <c r="G4" s="143"/>
      <c r="H4" s="143"/>
      <c r="I4" s="143"/>
    </row>
    <row r="5" spans="1:9" ht="14.25">
      <c r="A5" s="169" t="s">
        <v>13</v>
      </c>
      <c r="B5" s="169"/>
      <c r="C5" s="169"/>
      <c r="D5" s="169"/>
      <c r="E5" s="169"/>
      <c r="F5" s="169"/>
      <c r="G5" s="169"/>
      <c r="H5" s="169"/>
      <c r="I5" s="169"/>
    </row>
    <row r="6" spans="1:9" ht="14.25">
      <c r="A6" s="49"/>
      <c r="B6" s="49"/>
      <c r="C6" s="49"/>
      <c r="D6" s="49"/>
      <c r="E6" s="49"/>
      <c r="F6" s="49"/>
      <c r="G6" s="49"/>
      <c r="H6" s="49"/>
      <c r="I6" s="49"/>
    </row>
    <row r="7" spans="1:9" ht="14.25">
      <c r="A7" s="49"/>
      <c r="B7" s="64"/>
      <c r="C7" s="153" t="s">
        <v>0</v>
      </c>
      <c r="D7" s="166"/>
      <c r="E7" s="170"/>
      <c r="F7" s="156"/>
      <c r="G7" s="157"/>
      <c r="H7" s="49"/>
      <c r="I7" s="49"/>
    </row>
    <row r="8" spans="1:9" ht="14.25">
      <c r="A8" s="49"/>
      <c r="B8" s="64"/>
      <c r="C8" s="153" t="s">
        <v>1</v>
      </c>
      <c r="D8" s="166"/>
      <c r="E8" s="170"/>
      <c r="F8" s="156"/>
      <c r="G8" s="157"/>
      <c r="H8" s="49"/>
      <c r="I8" s="49"/>
    </row>
    <row r="9" spans="1:9" ht="14.25">
      <c r="A9" s="49"/>
      <c r="B9" s="49"/>
      <c r="C9" s="49"/>
      <c r="D9" s="49"/>
      <c r="E9" s="49"/>
      <c r="F9" s="49"/>
      <c r="G9" s="49"/>
      <c r="H9" s="49"/>
      <c r="I9" s="49"/>
    </row>
    <row r="10" spans="1:9" ht="14.25">
      <c r="A10" s="49"/>
      <c r="B10" s="49"/>
      <c r="C10" s="49"/>
      <c r="D10" s="49"/>
      <c r="E10" s="49"/>
      <c r="F10" s="49"/>
      <c r="G10" s="49"/>
      <c r="H10" s="49"/>
      <c r="I10" s="49"/>
    </row>
    <row r="11" spans="1:9" ht="14.25">
      <c r="A11" s="49"/>
      <c r="B11" s="64"/>
      <c r="C11" s="153" t="s">
        <v>15</v>
      </c>
      <c r="D11" s="166"/>
      <c r="E11" s="167"/>
      <c r="F11" s="160"/>
      <c r="G11" s="161"/>
      <c r="H11" s="49"/>
      <c r="I11" s="49"/>
    </row>
    <row r="12" spans="1:9" ht="14.25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15">
      <c r="A13" s="49"/>
      <c r="B13" s="64"/>
      <c r="C13" s="153" t="s">
        <v>7</v>
      </c>
      <c r="D13" s="166"/>
      <c r="E13" s="168">
        <f>E11</f>
        <v>0</v>
      </c>
      <c r="F13" s="163"/>
      <c r="G13" s="164"/>
      <c r="H13" s="49"/>
      <c r="I13" s="49"/>
    </row>
    <row r="14" spans="1:9" ht="14.25">
      <c r="A14" s="49"/>
      <c r="B14" s="49"/>
      <c r="C14" s="49"/>
      <c r="D14" s="49"/>
      <c r="E14" s="49"/>
      <c r="F14" s="49"/>
      <c r="G14" s="49"/>
      <c r="H14" s="49"/>
      <c r="I14" s="49"/>
    </row>
    <row r="15" spans="1:9" ht="14.25">
      <c r="A15" s="165" t="s">
        <v>539</v>
      </c>
      <c r="B15" s="165"/>
      <c r="C15" s="165"/>
      <c r="D15" s="165"/>
      <c r="E15" s="165"/>
      <c r="F15" s="165"/>
      <c r="G15" s="165"/>
      <c r="H15" s="165"/>
      <c r="I15" s="165"/>
    </row>
    <row r="17" customFormat="1" ht="16.5" hidden="1" customHeight="1"/>
    <row r="18" customFormat="1" ht="16.5" hidden="1" customHeight="1"/>
    <row r="19" customFormat="1" ht="16.5" hidden="1" customHeight="1"/>
    <row r="20" customFormat="1" ht="16.5" hidden="1" customHeight="1"/>
    <row r="21" customFormat="1" ht="16.5" hidden="1" customHeight="1"/>
    <row r="22" customFormat="1" ht="16.5" hidden="1" customHeight="1"/>
    <row r="23" customFormat="1" ht="16.5" hidden="1" customHeight="1"/>
    <row r="24" customFormat="1" ht="16.5" hidden="1" customHeight="1"/>
    <row r="25" customFormat="1" ht="16.5" hidden="1" customHeight="1"/>
    <row r="26" customFormat="1" ht="16.5" hidden="1" customHeight="1"/>
    <row r="27" customFormat="1" ht="16.5" hidden="1" customHeight="1"/>
    <row r="28" customFormat="1" ht="16.5" hidden="1" customHeight="1"/>
    <row r="29" customFormat="1" ht="16.5" hidden="1" customHeight="1"/>
    <row r="30" customFormat="1" ht="16.5" hidden="1" customHeight="1"/>
    <row r="31" customFormat="1" ht="16.5" hidden="1" customHeight="1"/>
    <row r="32" customFormat="1" ht="16.5" hidden="1" customHeight="1"/>
    <row r="33" customFormat="1" ht="16.5" hidden="1" customHeight="1"/>
    <row r="34" customFormat="1" ht="16.5" hidden="1" customHeight="1"/>
    <row r="35" customFormat="1" ht="16.5" hidden="1" customHeight="1"/>
    <row r="36" customFormat="1" ht="16.5" hidden="1" customHeight="1"/>
    <row r="37" customFormat="1" ht="16.5" hidden="1" customHeight="1"/>
    <row r="38" customFormat="1" ht="16.5" hidden="1" customHeight="1"/>
    <row r="39" customFormat="1" ht="16.5" hidden="1" customHeight="1"/>
  </sheetData>
  <sheetProtection algorithmName="SHA-512" hashValue="VgPrv05WvlMOe5d0xbJhXyN+3ev5wiIsARfOg6meB+auDFLv9tBcP0tDuNqi8FgikXLXverHRs2V/g3nC+W1jw==" saltValue="NA8nDf9+aC1QhZn27pSeFw==" spinCount="100000" sheet="1" objects="1" scenarios="1" selectLockedCells="1"/>
  <mergeCells count="11">
    <mergeCell ref="A1:I4"/>
    <mergeCell ref="A5:I5"/>
    <mergeCell ref="C7:D7"/>
    <mergeCell ref="E7:G7"/>
    <mergeCell ref="C8:D8"/>
    <mergeCell ref="E8:G8"/>
    <mergeCell ref="A15:I15"/>
    <mergeCell ref="C11:D11"/>
    <mergeCell ref="E11:G11"/>
    <mergeCell ref="C13:D13"/>
    <mergeCell ref="E13:G1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Button 1">
              <controlPr locked="0" defaultSize="0" print="0" autoFill="0" autoPict="0" macro="[0]!FullTime_Click">
                <anchor moveWithCells="1" sizeWithCells="1">
                  <from>
                    <xdr:col>7</xdr:col>
                    <xdr:colOff>390525</xdr:colOff>
                    <xdr:row>6</xdr:row>
                    <xdr:rowOff>161925</xdr:rowOff>
                  </from>
                  <to>
                    <xdr:col>8</xdr:col>
                    <xdr:colOff>590550</xdr:colOff>
                    <xdr:row>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AC504-FFB3-4E19-91C0-9E39D3359E9B}">
  <sheetPr codeName="Sheet6"/>
  <dimension ref="A1:I51"/>
  <sheetViews>
    <sheetView workbookViewId="0">
      <selection activeCell="E7" sqref="E7:G7"/>
    </sheetView>
  </sheetViews>
  <sheetFormatPr defaultColWidth="0" defaultRowHeight="16.5" customHeight="1" zeroHeight="1"/>
  <cols>
    <col min="1" max="1" width="8.875" customWidth="1"/>
    <col min="2" max="2" width="8.125" customWidth="1"/>
    <col min="3" max="3" width="9.375" customWidth="1"/>
    <col min="4" max="9" width="8.875" customWidth="1"/>
    <col min="10" max="16384" width="8.875" hidden="1"/>
  </cols>
  <sheetData>
    <row r="1" spans="1:9" ht="14.25">
      <c r="A1" s="143" t="s">
        <v>20</v>
      </c>
      <c r="B1" s="143"/>
      <c r="C1" s="143"/>
      <c r="D1" s="143"/>
      <c r="E1" s="143"/>
      <c r="F1" s="143"/>
      <c r="G1" s="143"/>
      <c r="H1" s="143"/>
      <c r="I1" s="143"/>
    </row>
    <row r="2" spans="1:9" ht="14.25">
      <c r="A2" s="143"/>
      <c r="B2" s="143"/>
      <c r="C2" s="143"/>
      <c r="D2" s="143"/>
      <c r="E2" s="143"/>
      <c r="F2" s="143"/>
      <c r="G2" s="143"/>
      <c r="H2" s="143"/>
      <c r="I2" s="143"/>
    </row>
    <row r="3" spans="1:9" ht="14.25">
      <c r="A3" s="143"/>
      <c r="B3" s="143"/>
      <c r="C3" s="143"/>
      <c r="D3" s="143"/>
      <c r="E3" s="143"/>
      <c r="F3" s="143"/>
      <c r="G3" s="143"/>
      <c r="H3" s="143"/>
      <c r="I3" s="143"/>
    </row>
    <row r="4" spans="1:9" ht="14.25">
      <c r="A4" s="143"/>
      <c r="B4" s="143"/>
      <c r="C4" s="143"/>
      <c r="D4" s="143"/>
      <c r="E4" s="143"/>
      <c r="F4" s="143"/>
      <c r="G4" s="143"/>
      <c r="H4" s="143"/>
      <c r="I4" s="143"/>
    </row>
    <row r="5" spans="1:9" ht="14.25">
      <c r="A5" s="152" t="s">
        <v>168</v>
      </c>
      <c r="B5" s="152"/>
      <c r="C5" s="152"/>
      <c r="D5" s="152"/>
      <c r="E5" s="152"/>
      <c r="F5" s="152"/>
      <c r="G5" s="152"/>
      <c r="H5" s="152"/>
      <c r="I5" s="152"/>
    </row>
    <row r="6" spans="1:9" ht="14.25">
      <c r="A6" s="49"/>
      <c r="B6" s="49"/>
      <c r="C6" s="49"/>
      <c r="D6" s="49"/>
      <c r="E6" s="49"/>
      <c r="F6" s="49"/>
      <c r="G6" s="49"/>
      <c r="H6" s="49"/>
      <c r="I6" s="49"/>
    </row>
    <row r="7" spans="1:9" ht="14.25">
      <c r="A7" s="49"/>
      <c r="B7" s="64"/>
      <c r="C7" s="153" t="s">
        <v>0</v>
      </c>
      <c r="D7" s="154"/>
      <c r="E7" s="155"/>
      <c r="F7" s="156"/>
      <c r="G7" s="157"/>
      <c r="H7" s="49"/>
      <c r="I7" s="49"/>
    </row>
    <row r="8" spans="1:9" ht="14.25">
      <c r="A8" s="49"/>
      <c r="B8" s="64"/>
      <c r="C8" s="153" t="s">
        <v>1</v>
      </c>
      <c r="D8" s="154"/>
      <c r="E8" s="155"/>
      <c r="F8" s="156"/>
      <c r="G8" s="157"/>
      <c r="H8" s="49"/>
      <c r="I8" s="49"/>
    </row>
    <row r="9" spans="1:9" ht="14.25">
      <c r="A9" s="49"/>
      <c r="B9" s="49"/>
      <c r="C9" s="49"/>
      <c r="D9" s="49"/>
      <c r="E9" s="49"/>
      <c r="F9" s="49"/>
      <c r="G9" s="49"/>
      <c r="H9" s="49"/>
      <c r="I9" s="49"/>
    </row>
    <row r="10" spans="1:9" ht="14.25">
      <c r="A10" s="49"/>
      <c r="B10" s="49"/>
      <c r="C10" s="49"/>
      <c r="D10" s="49"/>
      <c r="E10" s="49"/>
      <c r="F10" s="49"/>
      <c r="G10" s="49"/>
      <c r="H10" s="49"/>
      <c r="I10" s="49"/>
    </row>
    <row r="11" spans="1:9" ht="14.25">
      <c r="A11" s="49"/>
      <c r="B11" s="64"/>
      <c r="C11" s="153" t="s">
        <v>16</v>
      </c>
      <c r="D11" s="166"/>
      <c r="E11" s="171"/>
      <c r="F11" s="160"/>
      <c r="G11" s="161"/>
      <c r="H11" s="49"/>
      <c r="I11" s="49"/>
    </row>
    <row r="12" spans="1:9" ht="14.25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15">
      <c r="A13" s="49"/>
      <c r="B13" s="64"/>
      <c r="C13" s="153" t="s">
        <v>7</v>
      </c>
      <c r="D13" s="166"/>
      <c r="E13" s="172">
        <f>E11/12</f>
        <v>0</v>
      </c>
      <c r="F13" s="173"/>
      <c r="G13" s="174"/>
      <c r="H13" s="49"/>
      <c r="I13" s="49"/>
    </row>
    <row r="14" spans="1:9" ht="14.25">
      <c r="A14" s="49"/>
      <c r="B14" s="49"/>
      <c r="C14" s="49"/>
      <c r="D14" s="49"/>
      <c r="E14" s="49"/>
      <c r="F14" s="49"/>
      <c r="G14" s="49"/>
      <c r="H14" s="49"/>
      <c r="I14" s="49"/>
    </row>
    <row r="15" spans="1:9" ht="14.25">
      <c r="A15" s="158" t="s">
        <v>539</v>
      </c>
      <c r="B15" s="158"/>
      <c r="C15" s="158"/>
      <c r="D15" s="158"/>
      <c r="E15" s="158"/>
      <c r="F15" s="158"/>
      <c r="G15" s="158"/>
      <c r="H15" s="158"/>
      <c r="I15" s="158"/>
    </row>
    <row r="17" customFormat="1" ht="16.5" hidden="1" customHeight="1"/>
    <row r="18" customFormat="1" ht="16.5" hidden="1" customHeight="1"/>
    <row r="19" customFormat="1" ht="16.5" hidden="1" customHeight="1"/>
    <row r="20" customFormat="1" ht="16.5" hidden="1" customHeight="1"/>
    <row r="21" customFormat="1" ht="16.5" hidden="1" customHeight="1"/>
    <row r="22" customFormat="1" ht="16.5" hidden="1" customHeight="1"/>
    <row r="23" customFormat="1" ht="16.5" hidden="1" customHeight="1"/>
    <row r="24" customFormat="1" ht="16.5" hidden="1" customHeight="1"/>
    <row r="25" customFormat="1" ht="16.5" hidden="1" customHeight="1"/>
    <row r="26" customFormat="1" ht="16.5" hidden="1" customHeight="1"/>
    <row r="27" customFormat="1" ht="16.5" hidden="1" customHeight="1"/>
    <row r="28" customFormat="1" ht="16.5" hidden="1" customHeight="1"/>
    <row r="29" customFormat="1" ht="16.5" hidden="1" customHeight="1"/>
    <row r="30" customFormat="1" ht="16.5" hidden="1" customHeight="1"/>
    <row r="31" customFormat="1" ht="16.5" hidden="1" customHeight="1"/>
    <row r="32" customFormat="1" ht="16.5" hidden="1" customHeight="1"/>
    <row r="33" customFormat="1" ht="16.5" hidden="1" customHeight="1"/>
    <row r="34" customFormat="1" ht="16.5" hidden="1" customHeight="1"/>
    <row r="35" customFormat="1" ht="16.5" hidden="1" customHeight="1"/>
    <row r="36" customFormat="1" ht="16.5" hidden="1" customHeight="1"/>
    <row r="37" customFormat="1" ht="16.5" hidden="1" customHeight="1"/>
    <row r="38" customFormat="1" ht="16.5" hidden="1" customHeight="1"/>
    <row r="39" customFormat="1" ht="16.5" hidden="1" customHeight="1"/>
    <row r="40" customFormat="1" ht="16.5" hidden="1" customHeight="1"/>
    <row r="41" customFormat="1" ht="16.5" hidden="1" customHeight="1"/>
    <row r="42" customFormat="1" ht="16.5" hidden="1" customHeight="1"/>
    <row r="43" customFormat="1" ht="16.5" hidden="1" customHeight="1"/>
    <row r="44" customFormat="1" ht="16.5" hidden="1" customHeight="1"/>
    <row r="45" customFormat="1" ht="16.5" hidden="1" customHeight="1"/>
    <row r="46" customFormat="1" ht="16.5" hidden="1" customHeight="1"/>
    <row r="47" customFormat="1" ht="16.5" hidden="1" customHeight="1"/>
    <row r="48" customFormat="1" ht="16.5" hidden="1" customHeight="1"/>
    <row r="49" customFormat="1" ht="16.5" hidden="1" customHeight="1"/>
    <row r="50" customFormat="1" ht="16.5" hidden="1" customHeight="1"/>
    <row r="51" customFormat="1" ht="16.5" hidden="1" customHeight="1"/>
  </sheetData>
  <sheetProtection algorithmName="SHA-512" hashValue="SSgJ18osyyhZ557/QuQG4ZtSu63tNjo3f3I8QSc7eqcXHyrFymacmLRLUM8x92l8WssKdNa7FRy0i38qDj/WaA==" saltValue="gW21q/r1gr3uidBesBTRmA==" spinCount="100000" sheet="1" objects="1" scenarios="1" selectLockedCells="1"/>
  <mergeCells count="11">
    <mergeCell ref="A1:I4"/>
    <mergeCell ref="A5:I5"/>
    <mergeCell ref="C7:D7"/>
    <mergeCell ref="E7:G7"/>
    <mergeCell ref="C8:D8"/>
    <mergeCell ref="E8:G8"/>
    <mergeCell ref="A15:I15"/>
    <mergeCell ref="C11:D11"/>
    <mergeCell ref="E11:G11"/>
    <mergeCell ref="C13:D13"/>
    <mergeCell ref="E13:G1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locked="0" defaultSize="0" print="0" autoFill="0" autoPict="0" macro="[0]!FullTime_Click">
                <anchor moveWithCells="1" sizeWithCells="1">
                  <from>
                    <xdr:col>7</xdr:col>
                    <xdr:colOff>390525</xdr:colOff>
                    <xdr:row>6</xdr:row>
                    <xdr:rowOff>161925</xdr:rowOff>
                  </from>
                  <to>
                    <xdr:col>8</xdr:col>
                    <xdr:colOff>590550</xdr:colOff>
                    <xdr:row>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A7338-6267-492C-ACE5-8603656C8A6E}">
  <sheetPr codeName="Sheet7"/>
  <dimension ref="A1:XFC29"/>
  <sheetViews>
    <sheetView workbookViewId="0">
      <selection activeCell="G7" sqref="G7:I7"/>
    </sheetView>
  </sheetViews>
  <sheetFormatPr defaultColWidth="0" defaultRowHeight="14.25" zeroHeight="1"/>
  <cols>
    <col min="1" max="1" width="3" style="52" customWidth="1"/>
    <col min="2" max="2" width="20.375" style="52" customWidth="1"/>
    <col min="3" max="3" width="8.875" style="52" customWidth="1"/>
    <col min="4" max="4" width="12.75" style="52" customWidth="1"/>
    <col min="5" max="5" width="16.125" style="52" customWidth="1"/>
    <col min="6" max="6" width="20.125" style="52" customWidth="1"/>
    <col min="7" max="7" width="8.875" style="52" customWidth="1"/>
    <col min="8" max="8" width="13.625" style="52" customWidth="1"/>
    <col min="9" max="9" width="15.375" style="52" customWidth="1"/>
    <col min="10" max="10" width="20.625" style="52" customWidth="1"/>
    <col min="11" max="11" width="8.875" style="52" customWidth="1"/>
    <col min="12" max="12" width="13" style="52" customWidth="1"/>
    <col min="13" max="13" width="3.75" style="52" hidden="1" customWidth="1"/>
    <col min="14" max="17" width="3.125" hidden="1"/>
    <col min="18" max="18" width="14.375" hidden="1"/>
    <col min="19" max="19" width="13.625" hidden="1"/>
    <col min="20" max="20" width="11.625" hidden="1"/>
    <col min="21" max="16383" width="3.125" hidden="1"/>
    <col min="16384" max="16384" width="8.625" hidden="1"/>
  </cols>
  <sheetData>
    <row r="1" spans="1:23">
      <c r="A1" s="143" t="s">
        <v>21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R1" t="s">
        <v>556</v>
      </c>
      <c r="S1" t="s">
        <v>557</v>
      </c>
      <c r="T1" t="s">
        <v>558</v>
      </c>
      <c r="U1" t="s">
        <v>559</v>
      </c>
      <c r="V1" t="s">
        <v>560</v>
      </c>
    </row>
    <row r="2" spans="1:23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O2" s="137">
        <f ca="1">TODAY()</f>
        <v>45022</v>
      </c>
      <c r="P2">
        <f ca="1">YEAR(O2)</f>
        <v>2023</v>
      </c>
      <c r="R2" s="137">
        <f ca="1">DATE(YEAR(O2),4,18)</f>
        <v>45034</v>
      </c>
      <c r="S2" s="137">
        <f ca="1">DATE(YEAR(O2),10,15)</f>
        <v>45214</v>
      </c>
      <c r="T2" t="str">
        <f ca="1">IF(MONTH(O2)&gt;=4,"Yes","No")</f>
        <v>Yes</v>
      </c>
      <c r="U2" t="str">
        <f ca="1">IF(AND(O2&gt;R2,O2&lt;=S2),"Yes","No")</f>
        <v>No</v>
      </c>
      <c r="V2" t="str">
        <f ca="1">IF(O2&gt;DATE(YEAR(O2),10,15),"Yes","No")</f>
        <v>No</v>
      </c>
    </row>
    <row r="3" spans="1:23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23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T4" t="s">
        <v>561</v>
      </c>
      <c r="U4">
        <f ca="1">YEAR(O2)-1</f>
        <v>2022</v>
      </c>
      <c r="W4" t="s">
        <v>566</v>
      </c>
    </row>
    <row r="5" spans="1:23">
      <c r="A5" s="158" t="s">
        <v>22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P5" t="s">
        <v>214</v>
      </c>
      <c r="R5" t="s">
        <v>215</v>
      </c>
      <c r="T5" t="s">
        <v>562</v>
      </c>
      <c r="U5">
        <f ca="1">YEAR(O2)-2</f>
        <v>2021</v>
      </c>
      <c r="W5" t="s">
        <v>567</v>
      </c>
    </row>
    <row r="6" spans="1:2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P6">
        <f>D17*0.26</f>
        <v>0</v>
      </c>
      <c r="R6">
        <f>L17*0.26</f>
        <v>0</v>
      </c>
      <c r="T6" t="s">
        <v>563</v>
      </c>
      <c r="U6">
        <f ca="1">YEAR(O2)-3</f>
        <v>2020</v>
      </c>
    </row>
    <row r="7" spans="1:23">
      <c r="A7" s="49"/>
      <c r="B7" s="49"/>
      <c r="C7" s="49"/>
      <c r="D7" s="49"/>
      <c r="E7" s="153" t="s">
        <v>0</v>
      </c>
      <c r="F7" s="166"/>
      <c r="G7" s="170"/>
      <c r="H7" s="156"/>
      <c r="I7" s="157"/>
      <c r="J7" s="49"/>
      <c r="K7" s="49"/>
      <c r="L7" s="49"/>
      <c r="M7" s="49"/>
      <c r="P7" t="s">
        <v>161</v>
      </c>
      <c r="R7" t="s">
        <v>163</v>
      </c>
    </row>
    <row r="8" spans="1:23">
      <c r="A8" s="49"/>
      <c r="B8" s="49"/>
      <c r="C8" s="49"/>
      <c r="D8" s="49"/>
      <c r="E8" s="153" t="s">
        <v>33</v>
      </c>
      <c r="F8" s="184"/>
      <c r="G8" s="185"/>
      <c r="H8" s="186"/>
      <c r="I8" s="119" t="s">
        <v>29</v>
      </c>
      <c r="J8" s="49"/>
      <c r="K8" s="49"/>
      <c r="L8" s="49"/>
      <c r="M8" s="49"/>
      <c r="P8" s="3">
        <f>((D12-D13+D14-D15+D16 +P6)/12)</f>
        <v>0</v>
      </c>
      <c r="R8" s="3">
        <f>((L12-L13+L14-L15+L16+R6)/12)</f>
        <v>0</v>
      </c>
      <c r="T8" t="s">
        <v>564</v>
      </c>
      <c r="U8" t="str">
        <f ca="1">IF(AND(O2&gt;R2,I9="No"),"Yes","No")</f>
        <v>No</v>
      </c>
    </row>
    <row r="9" spans="1:23">
      <c r="A9" s="49"/>
      <c r="B9" s="49"/>
      <c r="C9" s="49"/>
      <c r="D9" s="49"/>
      <c r="E9" s="153" t="str">
        <f ca="1">"Has the borrower filed their "&amp;YEAR(O2)-1&amp;" taxes?"</f>
        <v>Has the borrower filed their 2022 taxes?</v>
      </c>
      <c r="F9" s="184"/>
      <c r="G9" s="184"/>
      <c r="H9" s="166"/>
      <c r="I9" s="119" t="s">
        <v>29</v>
      </c>
      <c r="J9" s="49"/>
      <c r="K9" s="49"/>
      <c r="L9" s="49"/>
      <c r="M9" s="49"/>
      <c r="T9" t="s">
        <v>565</v>
      </c>
      <c r="U9" t="str">
        <f ca="1">IF(O2&gt;S2,"Yes","No")</f>
        <v>No</v>
      </c>
    </row>
    <row r="10" spans="1:23">
      <c r="A10" s="49"/>
      <c r="B10" s="49"/>
      <c r="C10" s="49"/>
      <c r="D10" s="49"/>
      <c r="E10" s="153" t="str">
        <f ca="1">"Is there evidence the borrower filed an extension for "&amp;YEAR(O2)-1&amp;"?"</f>
        <v>Is there evidence the borrower filed an extension for 2022?</v>
      </c>
      <c r="F10" s="184"/>
      <c r="G10" s="184"/>
      <c r="H10" s="166"/>
      <c r="I10" s="138" t="s">
        <v>29</v>
      </c>
      <c r="J10" s="49"/>
      <c r="K10" s="49"/>
      <c r="L10" s="49"/>
      <c r="M10" s="49"/>
    </row>
    <row r="11" spans="1:23">
      <c r="A11" s="49"/>
      <c r="B11" s="177" t="str">
        <f ca="1">IF(U9="Yes",W4&amp;U5&amp;")",IF(AND(U2="Yes",U8="Yes",I10="Yes"),W4&amp;U6&amp;")",IF(AND(U2="Yes",I9="Select Option"),"",IF(AND(U2="Yes",U8="Yes",I10="No"),W4&amp;U5&amp;")",IF(AND(U2="Yes",U8="No"),W4&amp;U5&amp;")",IF(AND(U2="No",U9="No",I9="No"),W4&amp;U6&amp;")",IF(AND(U2="No",U9="No",I9="Yes"),W4&amp;U5&amp;")","")))))))</f>
        <v/>
      </c>
      <c r="C11" s="178"/>
      <c r="D11" s="179"/>
      <c r="E11" s="49"/>
      <c r="F11" s="180" t="str">
        <f ca="1">IF(U9="Yes",W5&amp;U4&amp;")",IF(AND(U2="Yes",U8="Yes",I10="Yes"),W5&amp;U5&amp;")",IF(AND(U2="Yes",I9="Select Option"),"",IF(AND(U2="Yes",U8="Yes",I10="No"),W5&amp;U4&amp;")",IF(AND(U2="Yes",U8="No"),W5&amp;U4&amp;")",IF(AND(U2="No",U9="No",I9="No"),W5&amp;U5&amp;")",IF(AND(U2="No",U9="No",I9="Yes"),W5&amp;U4&amp;")","")))))))</f>
        <v/>
      </c>
      <c r="G11" s="180"/>
      <c r="H11" s="181"/>
      <c r="I11" s="139"/>
      <c r="J11" s="175" t="str">
        <f ca="1">IF(U9="Yes",W5&amp;U4&amp;")",IF(AND(U2="Yes",U8="Yes",I10="Yes"),W5&amp;U5&amp;")",IF(AND(U2="Yes",I9="Select Option"),"",IF(AND(U2="Yes",U8="Yes",I10="No"),W5&amp;U4&amp;")",IF(AND(U2="Yes",U8="No"),W5&amp;U4&amp;")",IF(AND(U2="No",U9="No",I9="No"),W5&amp;U5&amp;")",IF(AND(U2="No",U9="No",I9="Yes"),W5&amp;U4&amp;")","")))))))</f>
        <v/>
      </c>
      <c r="K11" s="175"/>
      <c r="L11" s="176"/>
      <c r="M11" s="49"/>
      <c r="P11" t="s">
        <v>27</v>
      </c>
    </row>
    <row r="12" spans="1:23">
      <c r="A12" s="49"/>
      <c r="B12" s="182" t="s">
        <v>178</v>
      </c>
      <c r="C12" s="183"/>
      <c r="D12" s="120"/>
      <c r="E12" s="49"/>
      <c r="F12" s="182" t="s">
        <v>178</v>
      </c>
      <c r="G12" s="183"/>
      <c r="H12" s="117"/>
      <c r="I12" s="49"/>
      <c r="J12" s="182" t="s">
        <v>178</v>
      </c>
      <c r="K12" s="183"/>
      <c r="L12" s="120"/>
      <c r="M12" s="49"/>
      <c r="P12" s="3">
        <f>(P8+R8)/2</f>
        <v>0</v>
      </c>
    </row>
    <row r="13" spans="1:23">
      <c r="A13" s="49"/>
      <c r="B13" s="182" t="s">
        <v>179</v>
      </c>
      <c r="C13" s="183"/>
      <c r="D13" s="120"/>
      <c r="E13" s="49"/>
      <c r="F13" s="182" t="s">
        <v>179</v>
      </c>
      <c r="G13" s="183"/>
      <c r="H13" s="117"/>
      <c r="I13" s="49"/>
      <c r="J13" s="182" t="s">
        <v>179</v>
      </c>
      <c r="K13" s="183"/>
      <c r="L13" s="120"/>
      <c r="M13" s="49"/>
    </row>
    <row r="14" spans="1:23">
      <c r="A14" s="49"/>
      <c r="B14" s="182" t="s">
        <v>180</v>
      </c>
      <c r="C14" s="183"/>
      <c r="D14" s="120"/>
      <c r="E14" s="49"/>
      <c r="F14" s="182" t="s">
        <v>180</v>
      </c>
      <c r="G14" s="183"/>
      <c r="H14" s="117"/>
      <c r="I14" s="49"/>
      <c r="J14" s="182" t="s">
        <v>180</v>
      </c>
      <c r="K14" s="183"/>
      <c r="L14" s="120"/>
      <c r="M14" s="49"/>
      <c r="O14" t="s">
        <v>212</v>
      </c>
    </row>
    <row r="15" spans="1:23">
      <c r="A15" s="49"/>
      <c r="B15" s="182" t="s">
        <v>181</v>
      </c>
      <c r="C15" s="183"/>
      <c r="D15" s="121"/>
      <c r="E15" s="49"/>
      <c r="F15" s="182" t="s">
        <v>181</v>
      </c>
      <c r="G15" s="183"/>
      <c r="H15" s="118"/>
      <c r="I15" s="49"/>
      <c r="J15" s="182" t="s">
        <v>181</v>
      </c>
      <c r="K15" s="183"/>
      <c r="L15" s="121"/>
      <c r="M15" s="49"/>
      <c r="O15" s="3">
        <f>(H17*0.26)</f>
        <v>0</v>
      </c>
    </row>
    <row r="16" spans="1:23">
      <c r="A16" s="49"/>
      <c r="B16" s="188" t="s">
        <v>182</v>
      </c>
      <c r="C16" s="188"/>
      <c r="D16" s="65"/>
      <c r="E16" s="49"/>
      <c r="F16" s="189" t="s">
        <v>182</v>
      </c>
      <c r="G16" s="189"/>
      <c r="H16" s="59"/>
      <c r="I16" s="49"/>
      <c r="J16" s="188" t="s">
        <v>182</v>
      </c>
      <c r="K16" s="188"/>
      <c r="L16" s="65"/>
      <c r="M16" s="49"/>
      <c r="S16" t="s">
        <v>568</v>
      </c>
    </row>
    <row r="17" spans="1:19">
      <c r="A17" s="49"/>
      <c r="B17" s="189" t="s">
        <v>211</v>
      </c>
      <c r="C17" s="189"/>
      <c r="D17" s="66"/>
      <c r="E17" s="49"/>
      <c r="F17" s="188" t="s">
        <v>211</v>
      </c>
      <c r="G17" s="188"/>
      <c r="H17" s="67"/>
      <c r="I17" s="49"/>
      <c r="J17" s="189" t="s">
        <v>211</v>
      </c>
      <c r="K17" s="189"/>
      <c r="L17" s="66"/>
      <c r="M17" s="49"/>
      <c r="S17" t="s">
        <v>569</v>
      </c>
    </row>
    <row r="18" spans="1:19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1:19">
      <c r="A19" s="49"/>
      <c r="B19" s="49"/>
      <c r="C19" s="49"/>
      <c r="D19" s="49"/>
      <c r="E19" s="49"/>
      <c r="F19" s="190" t="s">
        <v>7</v>
      </c>
      <c r="G19" s="190"/>
      <c r="H19" s="68">
        <f>(H12-H13+H14-H15+H16+O15)/12</f>
        <v>0</v>
      </c>
      <c r="I19" s="49"/>
      <c r="J19" s="49"/>
      <c r="K19" s="49"/>
      <c r="L19" s="49"/>
      <c r="M19" s="49"/>
    </row>
    <row r="20" spans="1:19">
      <c r="A20" s="49"/>
      <c r="B20" s="49"/>
      <c r="C20" s="49"/>
      <c r="D20" s="49"/>
      <c r="E20" s="49"/>
      <c r="F20" s="189" t="s">
        <v>7</v>
      </c>
      <c r="G20" s="189"/>
      <c r="H20" s="69">
        <f>IF(R8&lt;P8,R8,P12)</f>
        <v>0</v>
      </c>
      <c r="I20" s="49"/>
      <c r="J20" s="49"/>
      <c r="K20" s="49"/>
      <c r="L20" s="49"/>
      <c r="M20" s="49"/>
    </row>
    <row r="21" spans="1:19" ht="21.75" customHeight="1">
      <c r="A21" s="187" t="s">
        <v>183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</row>
    <row r="22" spans="1:19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9" hidden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9" hidden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19" hidden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9" hidden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7" spans="1:19" hidden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19" hidden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  <row r="29" spans="1:19" hidden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</sheetData>
  <sheetProtection algorithmName="SHA-512" hashValue="zDBxpz7LIf7aK927SM2ntciZER/WedxzX4/iqrvNjvVk8ItqWaoStV5whANNnnUytMmLGhzYzijYt+uQJ2j/Sw==" saltValue="UTaJ9wcpbrmeqF0WHOmgdw==" spinCount="100000" sheet="1" selectLockedCells="1"/>
  <mergeCells count="31">
    <mergeCell ref="E9:H9"/>
    <mergeCell ref="E10:H10"/>
    <mergeCell ref="B15:C15"/>
    <mergeCell ref="B16:C16"/>
    <mergeCell ref="F20:G20"/>
    <mergeCell ref="F19:G19"/>
    <mergeCell ref="A21:M21"/>
    <mergeCell ref="F17:G17"/>
    <mergeCell ref="B17:C17"/>
    <mergeCell ref="J17:K17"/>
    <mergeCell ref="F14:G14"/>
    <mergeCell ref="F15:G15"/>
    <mergeCell ref="F16:G16"/>
    <mergeCell ref="J15:K15"/>
    <mergeCell ref="J16:K16"/>
    <mergeCell ref="B14:C14"/>
    <mergeCell ref="J14:K14"/>
    <mergeCell ref="A1:M4"/>
    <mergeCell ref="A5:M5"/>
    <mergeCell ref="E7:F7"/>
    <mergeCell ref="G7:I7"/>
    <mergeCell ref="E8:H8"/>
    <mergeCell ref="J11:L11"/>
    <mergeCell ref="B11:D11"/>
    <mergeCell ref="F11:H11"/>
    <mergeCell ref="B12:C12"/>
    <mergeCell ref="B13:C13"/>
    <mergeCell ref="J12:K12"/>
    <mergeCell ref="J13:K13"/>
    <mergeCell ref="F12:G12"/>
    <mergeCell ref="F13:G13"/>
  </mergeCells>
  <conditionalFormatting sqref="B11:D11">
    <cfRule type="expression" dxfId="919" priority="110">
      <formula>OR(I8="Select Option",I8="One")</formula>
    </cfRule>
  </conditionalFormatting>
  <conditionalFormatting sqref="B12:D12">
    <cfRule type="expression" dxfId="918" priority="109">
      <formula>OR(I8="Select Option",I8="One")</formula>
    </cfRule>
  </conditionalFormatting>
  <conditionalFormatting sqref="B13:D13">
    <cfRule type="expression" dxfId="917" priority="108">
      <formula>OR(I8="Select Option",I8="One")</formula>
    </cfRule>
  </conditionalFormatting>
  <conditionalFormatting sqref="B14:D14">
    <cfRule type="expression" dxfId="916" priority="107">
      <formula>OR(I8="Select Option",I8="One")</formula>
    </cfRule>
  </conditionalFormatting>
  <conditionalFormatting sqref="B15:D15">
    <cfRule type="expression" dxfId="915" priority="106">
      <formula>OR(I8="Select Option",I8="One")</formula>
    </cfRule>
  </conditionalFormatting>
  <conditionalFormatting sqref="D13">
    <cfRule type="expression" dxfId="914" priority="50">
      <formula>I8="One"</formula>
    </cfRule>
    <cfRule type="expression" dxfId="913" priority="63">
      <formula>I8="Select Option"</formula>
    </cfRule>
    <cfRule type="expression" dxfId="912" priority="102">
      <formula>I8="Two"</formula>
    </cfRule>
  </conditionalFormatting>
  <conditionalFormatting sqref="D12">
    <cfRule type="expression" dxfId="911" priority="51">
      <formula>I8="One"</formula>
    </cfRule>
    <cfRule type="expression" dxfId="910" priority="64">
      <formula>I8="Select Option"</formula>
    </cfRule>
    <cfRule type="expression" dxfId="909" priority="101">
      <formula>I8="Two"</formula>
    </cfRule>
  </conditionalFormatting>
  <conditionalFormatting sqref="D14">
    <cfRule type="expression" dxfId="908" priority="49">
      <formula>I8="One"</formula>
    </cfRule>
    <cfRule type="expression" dxfId="907" priority="62">
      <formula>I8="Select Option"</formula>
    </cfRule>
    <cfRule type="expression" dxfId="906" priority="100">
      <formula>I8="Two"</formula>
    </cfRule>
  </conditionalFormatting>
  <conditionalFormatting sqref="D15">
    <cfRule type="expression" dxfId="905" priority="48">
      <formula>I8="One"</formula>
    </cfRule>
    <cfRule type="expression" dxfId="904" priority="61">
      <formula>I8="Select Option"</formula>
    </cfRule>
    <cfRule type="expression" dxfId="903" priority="99">
      <formula>I8="Two"</formula>
    </cfRule>
  </conditionalFormatting>
  <conditionalFormatting sqref="J11:L11">
    <cfRule type="expression" dxfId="902" priority="97">
      <formula>OR(I8="Select Option",I8="One")</formula>
    </cfRule>
  </conditionalFormatting>
  <conditionalFormatting sqref="J12:L12">
    <cfRule type="expression" dxfId="901" priority="96">
      <formula>OR(I8="Select Option",I8="One")</formula>
    </cfRule>
  </conditionalFormatting>
  <conditionalFormatting sqref="J13:L13">
    <cfRule type="expression" dxfId="900" priority="95">
      <formula>OR(I8="Select Option",I8="One")</formula>
    </cfRule>
  </conditionalFormatting>
  <conditionalFormatting sqref="J14:L14">
    <cfRule type="expression" dxfId="899" priority="94">
      <formula>OR(I8="Select Option",I8="One")</formula>
    </cfRule>
  </conditionalFormatting>
  <conditionalFormatting sqref="J15:L15">
    <cfRule type="expression" dxfId="898" priority="93">
      <formula>OR(I8="Select Option",I8="One")</formula>
    </cfRule>
  </conditionalFormatting>
  <conditionalFormatting sqref="L12">
    <cfRule type="expression" dxfId="897" priority="41">
      <formula>I8="One"</formula>
    </cfRule>
    <cfRule type="expression" dxfId="896" priority="46">
      <formula>I8="Select Option"</formula>
    </cfRule>
    <cfRule type="expression" dxfId="895" priority="91">
      <formula>I8="Two"</formula>
    </cfRule>
  </conditionalFormatting>
  <conditionalFormatting sqref="L13">
    <cfRule type="expression" dxfId="894" priority="40">
      <formula>I8="One"</formula>
    </cfRule>
    <cfRule type="expression" dxfId="893" priority="45">
      <formula>I8="Select Option"</formula>
    </cfRule>
    <cfRule type="expression" dxfId="892" priority="90">
      <formula>I8="Two"</formula>
    </cfRule>
  </conditionalFormatting>
  <conditionalFormatting sqref="L14">
    <cfRule type="expression" dxfId="891" priority="39">
      <formula>I8="One"</formula>
    </cfRule>
    <cfRule type="expression" dxfId="890" priority="44">
      <formula>I8="Select Option"</formula>
    </cfRule>
    <cfRule type="expression" dxfId="889" priority="89">
      <formula>I8="Two"</formula>
    </cfRule>
  </conditionalFormatting>
  <conditionalFormatting sqref="L15">
    <cfRule type="expression" dxfId="888" priority="38">
      <formula>I8="One"</formula>
    </cfRule>
    <cfRule type="expression" dxfId="887" priority="43">
      <formula>I8="Select Option"</formula>
    </cfRule>
    <cfRule type="expression" dxfId="886" priority="88">
      <formula>I8="Two"</formula>
    </cfRule>
  </conditionalFormatting>
  <conditionalFormatting sqref="F11:H11">
    <cfRule type="expression" dxfId="885" priority="1">
      <formula>AND($I$8="Two",$I$9="Select Option")</formula>
    </cfRule>
    <cfRule type="expression" dxfId="884" priority="4">
      <formula>$I$8="Select Option"</formula>
    </cfRule>
    <cfRule type="expression" dxfId="883" priority="5">
      <formula>AND($U$9="Yes",$I$8="Two")</formula>
    </cfRule>
    <cfRule type="expression" dxfId="882" priority="6">
      <formula>AND($I$8="Two",$I$9="Yes")</formula>
    </cfRule>
    <cfRule type="expression" dxfId="881" priority="10">
      <formula>AND(U2="No",U9="No",$I$8="Two")</formula>
    </cfRule>
    <cfRule type="expression" dxfId="880" priority="86">
      <formula>OR(I8="Select Option",I8="Two")</formula>
    </cfRule>
  </conditionalFormatting>
  <conditionalFormatting sqref="F12:H12">
    <cfRule type="expression" dxfId="879" priority="85">
      <formula>OR(I8="Select Option",I8="Two")</formula>
    </cfRule>
  </conditionalFormatting>
  <conditionalFormatting sqref="F13:H13">
    <cfRule type="expression" dxfId="878" priority="84">
      <formula>OR(I8="Select Option",I8="Two")</formula>
    </cfRule>
  </conditionalFormatting>
  <conditionalFormatting sqref="F14:H14">
    <cfRule type="expression" dxfId="877" priority="83">
      <formula>OR(I8="Select Option",I8="Two")</formula>
    </cfRule>
  </conditionalFormatting>
  <conditionalFormatting sqref="F15:H15">
    <cfRule type="expression" dxfId="876" priority="82">
      <formula>OR(I8="Select Option",I8="Two")</formula>
    </cfRule>
  </conditionalFormatting>
  <conditionalFormatting sqref="H12">
    <cfRule type="expression" dxfId="875" priority="35">
      <formula>I8="Two"</formula>
    </cfRule>
    <cfRule type="expression" dxfId="874" priority="59">
      <formula>I8="Select Option"</formula>
    </cfRule>
    <cfRule type="expression" dxfId="873" priority="80">
      <formula>I8="One"</formula>
    </cfRule>
  </conditionalFormatting>
  <conditionalFormatting sqref="H13">
    <cfRule type="expression" dxfId="872" priority="34">
      <formula>I8="Two"</formula>
    </cfRule>
    <cfRule type="expression" dxfId="871" priority="58">
      <formula>I8="Select Option"</formula>
    </cfRule>
    <cfRule type="expression" dxfId="870" priority="79">
      <formula>I8="One"</formula>
    </cfRule>
  </conditionalFormatting>
  <conditionalFormatting sqref="H14">
    <cfRule type="expression" dxfId="869" priority="33">
      <formula>I8="Two"</formula>
    </cfRule>
    <cfRule type="expression" dxfId="868" priority="57">
      <formula>I8="Select Option"</formula>
    </cfRule>
    <cfRule type="expression" dxfId="867" priority="78">
      <formula>I8="One"</formula>
    </cfRule>
  </conditionalFormatting>
  <conditionalFormatting sqref="H15">
    <cfRule type="expression" dxfId="866" priority="32">
      <formula>I8="Two"</formula>
    </cfRule>
    <cfRule type="expression" dxfId="865" priority="56">
      <formula>I8="Select Option"</formula>
    </cfRule>
    <cfRule type="expression" dxfId="864" priority="77">
      <formula>I8="One"</formula>
    </cfRule>
  </conditionalFormatting>
  <conditionalFormatting sqref="F19:H19">
    <cfRule type="expression" dxfId="863" priority="73">
      <formula>OR(I8="Select Option",I8="Two")</formula>
    </cfRule>
  </conditionalFormatting>
  <conditionalFormatting sqref="F19:G19">
    <cfRule type="expression" dxfId="862" priority="69">
      <formula>I8="One"</formula>
    </cfRule>
  </conditionalFormatting>
  <conditionalFormatting sqref="H19">
    <cfRule type="expression" dxfId="861" priority="36">
      <formula>I8="Two"</formula>
    </cfRule>
    <cfRule type="expression" dxfId="860" priority="54">
      <formula>I8="Select Option"</formula>
    </cfRule>
    <cfRule type="expression" dxfId="859" priority="68">
      <formula>I8="One"</formula>
    </cfRule>
  </conditionalFormatting>
  <conditionalFormatting sqref="A21:F21 H21:M21">
    <cfRule type="expression" dxfId="858" priority="30">
      <formula>OR(I8="One",I8="Two")</formula>
    </cfRule>
  </conditionalFormatting>
  <conditionalFormatting sqref="H17">
    <cfRule type="expression" dxfId="857" priority="29">
      <formula>I8="One"</formula>
    </cfRule>
  </conditionalFormatting>
  <conditionalFormatting sqref="F17:G17">
    <cfRule type="expression" dxfId="856" priority="28">
      <formula>I8="One"</formula>
    </cfRule>
  </conditionalFormatting>
  <conditionalFormatting sqref="F16:G16">
    <cfRule type="expression" dxfId="855" priority="27">
      <formula>I8="One"</formula>
    </cfRule>
  </conditionalFormatting>
  <conditionalFormatting sqref="H16">
    <cfRule type="expression" dxfId="854" priority="26">
      <formula>I8="One"</formula>
    </cfRule>
  </conditionalFormatting>
  <conditionalFormatting sqref="B16:C16">
    <cfRule type="expression" dxfId="853" priority="25">
      <formula>I8="Two"</formula>
    </cfRule>
  </conditionalFormatting>
  <conditionalFormatting sqref="D16">
    <cfRule type="expression" dxfId="852" priority="24">
      <formula>I8="Two"</formula>
    </cfRule>
  </conditionalFormatting>
  <conditionalFormatting sqref="D17">
    <cfRule type="expression" dxfId="851" priority="23">
      <formula>I8="Two"</formula>
    </cfRule>
  </conditionalFormatting>
  <conditionalFormatting sqref="B17:C17">
    <cfRule type="expression" dxfId="850" priority="22">
      <formula>I8="Two"</formula>
    </cfRule>
  </conditionalFormatting>
  <conditionalFormatting sqref="J16:K16">
    <cfRule type="expression" dxfId="849" priority="21">
      <formula>I8="Two"</formula>
    </cfRule>
  </conditionalFormatting>
  <conditionalFormatting sqref="L16">
    <cfRule type="expression" dxfId="848" priority="20">
      <formula>I8="Two"</formula>
    </cfRule>
  </conditionalFormatting>
  <conditionalFormatting sqref="L17">
    <cfRule type="expression" dxfId="847" priority="19">
      <formula>I8="Two"</formula>
    </cfRule>
  </conditionalFormatting>
  <conditionalFormatting sqref="J17:K17">
    <cfRule type="expression" dxfId="846" priority="18">
      <formula>I8="Two"</formula>
    </cfRule>
  </conditionalFormatting>
  <conditionalFormatting sqref="H20">
    <cfRule type="expression" dxfId="845" priority="17">
      <formula>I8="Two"</formula>
    </cfRule>
  </conditionalFormatting>
  <conditionalFormatting sqref="F20:G20">
    <cfRule type="expression" dxfId="844" priority="16">
      <formula>I8="Two"</formula>
    </cfRule>
  </conditionalFormatting>
  <conditionalFormatting sqref="G21">
    <cfRule type="expression" dxfId="843" priority="178">
      <formula>OR(#REF!="One",#REF!="Two")</formula>
    </cfRule>
  </conditionalFormatting>
  <conditionalFormatting sqref="E9:H9">
    <cfRule type="expression" dxfId="842" priority="15">
      <formula>$U$9="Yes"</formula>
    </cfRule>
  </conditionalFormatting>
  <conditionalFormatting sqref="E10:H10">
    <cfRule type="expression" dxfId="841" priority="3">
      <formula>$I$9="Yes"</formula>
    </cfRule>
    <cfRule type="expression" dxfId="840" priority="8">
      <formula>AND(U2="No",U9="No")</formula>
    </cfRule>
    <cfRule type="expression" dxfId="839" priority="11">
      <formula>$U$9="Yes"</formula>
    </cfRule>
    <cfRule type="expression" dxfId="838" priority="14">
      <formula>$I$9="Select Option"</formula>
    </cfRule>
  </conditionalFormatting>
  <conditionalFormatting sqref="I9">
    <cfRule type="expression" dxfId="837" priority="13">
      <formula>$U$9="Yes"</formula>
    </cfRule>
  </conditionalFormatting>
  <conditionalFormatting sqref="I10">
    <cfRule type="expression" dxfId="836" priority="2">
      <formula>$I$9="Yes"</formula>
    </cfRule>
    <cfRule type="expression" dxfId="835" priority="7">
      <formula>AND(U2="No",U9="No")</formula>
    </cfRule>
    <cfRule type="expression" dxfId="834" priority="9">
      <formula>$U$9="Yes"</formula>
    </cfRule>
    <cfRule type="expression" dxfId="833" priority="12">
      <formula>$I$9="Select Option"</formula>
    </cfRule>
  </conditionalFormatting>
  <dataValidations count="1">
    <dataValidation type="list" allowBlank="1" showInputMessage="1" showErrorMessage="1" sqref="I9:I10" xr:uid="{22249517-56D3-42B9-9115-D7DB5AA012FF}">
      <formula1>"Select Option, Yes, No"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locked="0" defaultSize="0" print="0" autoFill="0" autoPict="0" macro="[0]!ScheduleC_Click">
                <anchor moveWithCells="1" sizeWithCells="1">
                  <from>
                    <xdr:col>9</xdr:col>
                    <xdr:colOff>971550</xdr:colOff>
                    <xdr:row>6</xdr:row>
                    <xdr:rowOff>161925</xdr:rowOff>
                  </from>
                  <to>
                    <xdr:col>11</xdr:col>
                    <xdr:colOff>114300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CFE00056-6060-4554-A405-9491F3812FC2}">
          <x14:formula1>
            <xm:f>Lists!$C$11:$C$13</xm:f>
          </x14:formula1>
          <xm:sqref>I8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A2519-41A4-4B63-BEDD-E53581E7F90A}">
  <sheetPr codeName="Sheet8"/>
  <dimension ref="A1:XFC93"/>
  <sheetViews>
    <sheetView workbookViewId="0">
      <selection activeCell="G7" sqref="G7:I7"/>
    </sheetView>
  </sheetViews>
  <sheetFormatPr defaultColWidth="0" defaultRowHeight="14.25" zeroHeight="1"/>
  <cols>
    <col min="1" max="1" width="7.25" customWidth="1"/>
    <col min="2" max="2" width="23.25" customWidth="1"/>
    <col min="3" max="3" width="17.375" customWidth="1"/>
    <col min="4" max="4" width="13.375" customWidth="1"/>
    <col min="5" max="5" width="24" customWidth="1"/>
    <col min="6" max="6" width="16.625" customWidth="1"/>
    <col min="7" max="7" width="13" customWidth="1"/>
    <col min="8" max="8" width="15.625" customWidth="1"/>
    <col min="9" max="9" width="24.875" customWidth="1"/>
    <col min="10" max="10" width="12.25" customWidth="1"/>
    <col min="11" max="11" width="9.25" customWidth="1"/>
    <col min="12" max="12" width="5.25" customWidth="1"/>
    <col min="13" max="13" width="8.875" hidden="1" customWidth="1"/>
    <col min="14" max="14" width="7.625" hidden="1"/>
    <col min="15" max="15" width="11.875" hidden="1"/>
    <col min="16" max="17" width="7.625" hidden="1"/>
    <col min="18" max="18" width="15.375" hidden="1"/>
    <col min="19" max="16383" width="7.625" hidden="1"/>
    <col min="16384" max="16384" width="6.625" hidden="1"/>
  </cols>
  <sheetData>
    <row r="1" spans="1:23">
      <c r="A1" s="143" t="s">
        <v>31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R1" t="s">
        <v>556</v>
      </c>
      <c r="S1" t="s">
        <v>557</v>
      </c>
      <c r="T1" t="s">
        <v>558</v>
      </c>
      <c r="U1" t="s">
        <v>559</v>
      </c>
      <c r="V1" t="s">
        <v>560</v>
      </c>
    </row>
    <row r="2" spans="1:23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O2" s="137">
        <f ca="1">TODAY()</f>
        <v>45022</v>
      </c>
      <c r="R2" s="137">
        <f ca="1">DATE(YEAR(O2),4,18)</f>
        <v>45034</v>
      </c>
      <c r="S2" s="137">
        <f ca="1">DATE(YEAR(O2),10,15)</f>
        <v>45214</v>
      </c>
      <c r="T2" t="str">
        <f ca="1">IF(MONTH(O2)&gt;=4,"Yes","No")</f>
        <v>Yes</v>
      </c>
      <c r="U2" t="str">
        <f ca="1">IF(AND(O2&gt;R2,O2&lt;=S2),"Yes","No")</f>
        <v>No</v>
      </c>
      <c r="V2" t="str">
        <f ca="1">IF(O2&gt;DATE(YEAR(O2),10,15),"Yes","No")</f>
        <v>No</v>
      </c>
    </row>
    <row r="3" spans="1:23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P3" t="s">
        <v>165</v>
      </c>
      <c r="Q3" t="s">
        <v>164</v>
      </c>
    </row>
    <row r="4" spans="1:23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P4" s="3">
        <f>IF(AND(H9="No",(D15&gt;=D16)),ROUND(((D24-D19+D20+D21-D22-D23-D18)*D14+(D13+D16+D17))/12,2),IF(AND(H9="No",(D15&lt;D16)),ROUND(((D24-D19+D20+D21-D22-D23-D18)*D14+(D13+D15+D17))/12,2),IF(H9="Yes",ROUND((((D24-D19+D20+D21-D22-D23-D18)*D14+(D13+D15+D17)))/12,2),0)))</f>
        <v>0</v>
      </c>
      <c r="Q4" s="3">
        <f>IF(AND(H9="No",(J15&lt;J16)),ROUND(((J24-J19+J20+J21-J22-J23-J18)*J14+(J13+J15+J17))/12,2),IF(AND(H9="No",(J15&gt;=J16)),ROUND(((J24-J19+J20+J21-J22-J23-J18)*J14+(J13+J16+J17))/12,2),IF(H9="Yes",ROUND(((J24-J19+J20+J21-J22-J23-J18)*J14+(J13+J15+J17))/12,2),0)))</f>
        <v>0</v>
      </c>
      <c r="T4" t="s">
        <v>561</v>
      </c>
      <c r="U4">
        <f ca="1">YEAR(O2)-1</f>
        <v>2022</v>
      </c>
      <c r="W4" t="s">
        <v>566</v>
      </c>
    </row>
    <row r="5" spans="1:23">
      <c r="A5" s="195" t="s">
        <v>32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P5" s="3"/>
      <c r="Q5" s="3"/>
      <c r="T5" t="s">
        <v>562</v>
      </c>
      <c r="U5">
        <f ca="1">YEAR(O2)-2</f>
        <v>2021</v>
      </c>
      <c r="W5" t="s">
        <v>567</v>
      </c>
    </row>
    <row r="6" spans="1:2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T6" t="s">
        <v>563</v>
      </c>
      <c r="U6">
        <f ca="1">YEAR(O2)-3</f>
        <v>2020</v>
      </c>
    </row>
    <row r="7" spans="1:23">
      <c r="A7" s="49"/>
      <c r="B7" s="49"/>
      <c r="C7" s="49"/>
      <c r="D7" s="201" t="s">
        <v>0</v>
      </c>
      <c r="E7" s="202"/>
      <c r="F7" s="203"/>
      <c r="G7" s="170"/>
      <c r="H7" s="156"/>
      <c r="I7" s="157"/>
      <c r="J7" s="49"/>
      <c r="K7" s="49"/>
      <c r="L7" s="49"/>
      <c r="M7" s="49"/>
      <c r="P7" t="s">
        <v>166</v>
      </c>
    </row>
    <row r="8" spans="1:23">
      <c r="A8" s="49"/>
      <c r="B8" s="49"/>
      <c r="C8" s="49"/>
      <c r="D8" s="198" t="s">
        <v>33</v>
      </c>
      <c r="E8" s="199"/>
      <c r="F8" s="199"/>
      <c r="G8" s="200"/>
      <c r="H8" s="196" t="s">
        <v>29</v>
      </c>
      <c r="I8" s="197"/>
      <c r="J8" s="49"/>
      <c r="K8" s="49"/>
      <c r="L8" s="49"/>
      <c r="M8" s="49"/>
      <c r="P8" s="3">
        <f>IF(Q4&gt;=P4,(P4+Q4)/2,IF(Q4&lt;P4,Q4,0))</f>
        <v>0</v>
      </c>
      <c r="T8" t="s">
        <v>564</v>
      </c>
      <c r="U8" t="str">
        <f ca="1">IF(AND(O2&gt;R2,H10="No"),"Yes","No")</f>
        <v>No</v>
      </c>
    </row>
    <row r="9" spans="1:23">
      <c r="A9" s="49"/>
      <c r="B9" s="49"/>
      <c r="C9" s="49"/>
      <c r="D9" s="182" t="s">
        <v>45</v>
      </c>
      <c r="E9" s="191"/>
      <c r="F9" s="191"/>
      <c r="G9" s="183"/>
      <c r="H9" s="192" t="s">
        <v>46</v>
      </c>
      <c r="I9" s="193"/>
      <c r="J9" s="49"/>
      <c r="K9" s="49"/>
      <c r="L9" s="49"/>
      <c r="M9" s="49"/>
      <c r="T9" t="s">
        <v>565</v>
      </c>
      <c r="U9" t="str">
        <f ca="1">IF(O2&gt;S2,"Yes","No")</f>
        <v>No</v>
      </c>
    </row>
    <row r="10" spans="1:23">
      <c r="A10" s="140"/>
      <c r="B10" s="140"/>
      <c r="C10" s="140"/>
      <c r="D10" s="153" t="str">
        <f ca="1">"Has the borrower filed their "&amp;YEAR(O2)-1&amp;" taxes?"</f>
        <v>Has the borrower filed their 2022 taxes?</v>
      </c>
      <c r="E10" s="184"/>
      <c r="F10" s="184"/>
      <c r="G10" s="166"/>
      <c r="H10" s="209" t="s">
        <v>29</v>
      </c>
      <c r="I10" s="210"/>
      <c r="J10" s="140"/>
      <c r="K10" s="140"/>
      <c r="L10" s="140"/>
      <c r="M10" s="140"/>
    </row>
    <row r="11" spans="1:23">
      <c r="A11" s="140"/>
      <c r="B11" s="140"/>
      <c r="C11" s="140"/>
      <c r="D11" s="153" t="str">
        <f ca="1">"Is there evidence the borrower filed an extension for "&amp;YEAR(O2)-1&amp;"?"</f>
        <v>Is there evidence the borrower filed an extension for 2022?</v>
      </c>
      <c r="E11" s="184"/>
      <c r="F11" s="184"/>
      <c r="G11" s="154"/>
      <c r="H11" s="211" t="s">
        <v>29</v>
      </c>
      <c r="I11" s="212"/>
      <c r="J11" s="140"/>
      <c r="K11" s="140"/>
      <c r="L11" s="140"/>
      <c r="M11" s="140"/>
    </row>
    <row r="12" spans="1:23">
      <c r="A12" s="49"/>
      <c r="B12" s="213" t="str">
        <f ca="1">IF(U9="Yes",W4&amp;U5&amp;")",IF(AND(U2="Yes",U8="Yes",H11="Yes"),W4&amp;U6&amp;")",IF(AND(U2="Yes",H10="Select Option"),"",IF(AND(U2="Yes",U8="Yes",H11="No"),W4&amp;U5&amp;")",IF(AND(U2="Yes",U8="No"),W4&amp;U5&amp;")",IF(AND(U2="No",U9="No",H10="No"),W4&amp;U6&amp;")",IF(AND(U2="No",U9="No",H10="Yes"),W4&amp;U5&amp;")","")))))))</f>
        <v/>
      </c>
      <c r="C12" s="214"/>
      <c r="D12" s="215"/>
      <c r="E12" s="180" t="str">
        <f ca="1">IF(U9="Yes",W5&amp;U4&amp;")",IF(AND(U2="Yes",U8="Yes",H11="Yes"),W5&amp;U5&amp;")",IF(AND(U2="Yes",H10="Select Option"),"",IF(AND(U2="Yes",U8="Yes",H11="No"),W5&amp;U4&amp;")",IF(AND(U2="Yes",U8="No"),W5&amp;U4&amp;")",IF(AND(U2="No",U9="No",H10="No"),W5&amp;U5&amp;")",IF(AND(U2="No",U9="No",H10="Yes"),W5&amp;U4&amp;")","")))))))</f>
        <v/>
      </c>
      <c r="F12" s="180"/>
      <c r="G12" s="216"/>
      <c r="H12" s="217" t="str">
        <f ca="1">IF(U9="Yes",W5&amp;U4&amp;")",IF(AND(U2="Yes",U8="Yes",H11="Yes"),W5&amp;U5&amp;")",IF(AND(U2="Yes",H10="Select Option"),"",IF(AND(U2="Yes",U8="Yes",H11="No"),W5&amp;U4&amp;")",IF(AND(U2="Yes",U8="No"),W5&amp;U4&amp;")",IF(AND(U2="No",U9="No",H10="No"),W5&amp;U5&amp;")",IF(AND(U2="No",U9="No",H10="Yes"),W5&amp;U4&amp;")","")))))))</f>
        <v/>
      </c>
      <c r="I12" s="217"/>
      <c r="J12" s="217"/>
      <c r="K12" s="49"/>
      <c r="L12" s="49"/>
      <c r="M12" s="49"/>
      <c r="P12" t="s">
        <v>49</v>
      </c>
      <c r="Q12" t="s">
        <v>50</v>
      </c>
    </row>
    <row r="13" spans="1:23">
      <c r="A13" s="49"/>
      <c r="B13" s="205" t="s">
        <v>184</v>
      </c>
      <c r="C13" s="186"/>
      <c r="D13" s="125"/>
      <c r="E13" s="205" t="s">
        <v>184</v>
      </c>
      <c r="F13" s="186"/>
      <c r="G13" s="124"/>
      <c r="H13" s="204" t="s">
        <v>184</v>
      </c>
      <c r="I13" s="204"/>
      <c r="J13" s="126"/>
      <c r="K13" s="49"/>
      <c r="L13" s="49"/>
      <c r="M13" s="49"/>
    </row>
    <row r="14" spans="1:23">
      <c r="A14" s="49"/>
      <c r="B14" s="153" t="s">
        <v>185</v>
      </c>
      <c r="C14" s="166"/>
      <c r="D14" s="122"/>
      <c r="E14" s="204" t="s">
        <v>185</v>
      </c>
      <c r="F14" s="204"/>
      <c r="G14" s="71"/>
      <c r="H14" s="194" t="s">
        <v>185</v>
      </c>
      <c r="I14" s="194"/>
      <c r="J14" s="71"/>
      <c r="K14" s="49"/>
      <c r="L14" s="49"/>
      <c r="M14" s="49"/>
      <c r="P14" s="3">
        <f>IF(H9="Yes",((G24-G19+G20+G21-G22-G23-G18)*G14+(G13+G15+G17))/12, 0)</f>
        <v>0</v>
      </c>
      <c r="Q14" s="3">
        <f>IF(AND(H9="No",(G15&gt;=G16)),((G24-G19+G20+G21-G22-G23-G18)*G14+(G13+G16+G17))/12,0)</f>
        <v>0</v>
      </c>
    </row>
    <row r="15" spans="1:23">
      <c r="A15" s="49"/>
      <c r="B15" s="153" t="s">
        <v>186</v>
      </c>
      <c r="C15" s="166"/>
      <c r="D15" s="123"/>
      <c r="E15" s="194" t="s">
        <v>186</v>
      </c>
      <c r="F15" s="194"/>
      <c r="G15" s="70"/>
      <c r="H15" s="194" t="s">
        <v>186</v>
      </c>
      <c r="I15" s="194"/>
      <c r="J15" s="70"/>
      <c r="K15" s="49"/>
      <c r="L15" s="49"/>
      <c r="M15" s="49"/>
    </row>
    <row r="16" spans="1:23">
      <c r="A16" s="49"/>
      <c r="B16" s="153" t="s">
        <v>187</v>
      </c>
      <c r="C16" s="166"/>
      <c r="D16" s="123"/>
      <c r="E16" s="194" t="s">
        <v>187</v>
      </c>
      <c r="F16" s="194"/>
      <c r="G16" s="70"/>
      <c r="H16" s="194" t="s">
        <v>187</v>
      </c>
      <c r="I16" s="194"/>
      <c r="J16" s="70"/>
      <c r="K16" s="49"/>
      <c r="L16" s="49"/>
      <c r="M16" s="49"/>
      <c r="Q16" t="s">
        <v>51</v>
      </c>
    </row>
    <row r="17" spans="1:18">
      <c r="A17" s="49"/>
      <c r="B17" s="153" t="s">
        <v>195</v>
      </c>
      <c r="C17" s="166"/>
      <c r="D17" s="123"/>
      <c r="E17" s="194" t="s">
        <v>188</v>
      </c>
      <c r="F17" s="194"/>
      <c r="G17" s="70"/>
      <c r="H17" s="194" t="s">
        <v>195</v>
      </c>
      <c r="I17" s="194"/>
      <c r="J17" s="70"/>
      <c r="K17" s="49"/>
      <c r="L17" s="49"/>
      <c r="M17" s="49"/>
      <c r="Q17" s="3">
        <f>IF(AND(H9="No",(G15&lt;G16)),((G24-G19+G20+G21-G22-G23-G18)*G14+(G13+G15+G17))/12,0)</f>
        <v>0</v>
      </c>
    </row>
    <row r="18" spans="1:18">
      <c r="A18" s="49"/>
      <c r="B18" s="153" t="s">
        <v>189</v>
      </c>
      <c r="C18" s="166"/>
      <c r="D18" s="123"/>
      <c r="E18" s="194" t="s">
        <v>189</v>
      </c>
      <c r="F18" s="194"/>
      <c r="G18" s="70"/>
      <c r="H18" s="194" t="s">
        <v>189</v>
      </c>
      <c r="I18" s="194"/>
      <c r="J18" s="70"/>
      <c r="K18" s="49"/>
      <c r="L18" s="49"/>
      <c r="M18" s="49"/>
    </row>
    <row r="19" spans="1:18">
      <c r="A19" s="49"/>
      <c r="B19" s="153" t="s">
        <v>190</v>
      </c>
      <c r="C19" s="166"/>
      <c r="D19" s="123"/>
      <c r="E19" s="194" t="s">
        <v>190</v>
      </c>
      <c r="F19" s="194"/>
      <c r="G19" s="70"/>
      <c r="H19" s="194" t="s">
        <v>190</v>
      </c>
      <c r="I19" s="194"/>
      <c r="J19" s="70"/>
      <c r="K19" s="49"/>
      <c r="L19" s="49"/>
      <c r="M19" s="49"/>
      <c r="P19" t="s">
        <v>52</v>
      </c>
      <c r="Q19" t="s">
        <v>54</v>
      </c>
    </row>
    <row r="20" spans="1:18">
      <c r="A20" s="49"/>
      <c r="B20" s="153" t="s">
        <v>191</v>
      </c>
      <c r="C20" s="166"/>
      <c r="D20" s="123"/>
      <c r="E20" s="194" t="s">
        <v>191</v>
      </c>
      <c r="F20" s="194"/>
      <c r="G20" s="70"/>
      <c r="H20" s="194" t="s">
        <v>191</v>
      </c>
      <c r="I20" s="194"/>
      <c r="J20" s="70"/>
      <c r="K20" s="49"/>
      <c r="L20" s="49"/>
      <c r="M20" s="49"/>
      <c r="P20" s="3">
        <f>IF(H9="Yes",(((D24-D19+D20+D21-D22-D23-D18)*D14+(D13+D15+D17))+((J24-J19+J20+J21-J22-J23-J18)*J14+(J13+J15+J17)))/24,0)</f>
        <v>0</v>
      </c>
      <c r="Q20" s="3">
        <f>IF(AND(H9="No",D15&gt;=D16,J15&gt;=J16),(((D24-D19+D20+D21-D22-D23-D18)*D14+(D13+D16+D17))+((J24-J19+J20+J21-J22-J23-J18)*J14+(J13+J16+J17)))/24, 0)</f>
        <v>0</v>
      </c>
    </row>
    <row r="21" spans="1:18">
      <c r="A21" s="49"/>
      <c r="B21" s="153" t="s">
        <v>196</v>
      </c>
      <c r="C21" s="166"/>
      <c r="D21" s="123"/>
      <c r="E21" s="194" t="s">
        <v>192</v>
      </c>
      <c r="F21" s="194"/>
      <c r="G21" s="70"/>
      <c r="H21" s="194" t="s">
        <v>192</v>
      </c>
      <c r="I21" s="194"/>
      <c r="J21" s="70"/>
      <c r="K21" s="49"/>
      <c r="L21" s="49"/>
      <c r="M21" s="49"/>
    </row>
    <row r="22" spans="1:18">
      <c r="A22" s="49"/>
      <c r="B22" s="153" t="s">
        <v>193</v>
      </c>
      <c r="C22" s="166"/>
      <c r="D22" s="123"/>
      <c r="E22" s="194" t="s">
        <v>193</v>
      </c>
      <c r="F22" s="194"/>
      <c r="G22" s="70"/>
      <c r="H22" s="194" t="s">
        <v>193</v>
      </c>
      <c r="I22" s="194"/>
      <c r="J22" s="70"/>
      <c r="K22" s="49"/>
      <c r="L22" s="49"/>
      <c r="M22" s="49"/>
      <c r="Q22" t="s">
        <v>53</v>
      </c>
    </row>
    <row r="23" spans="1:18">
      <c r="A23" s="49"/>
      <c r="B23" s="153" t="s">
        <v>194</v>
      </c>
      <c r="C23" s="166"/>
      <c r="D23" s="123"/>
      <c r="E23" s="194" t="s">
        <v>194</v>
      </c>
      <c r="F23" s="194"/>
      <c r="G23" s="70"/>
      <c r="H23" s="194" t="s">
        <v>194</v>
      </c>
      <c r="I23" s="194"/>
      <c r="J23" s="70"/>
      <c r="K23" s="49"/>
      <c r="L23" s="49"/>
      <c r="M23" s="49"/>
      <c r="Q23" s="3">
        <f>IF(AND(H9="No",D15&lt;D16,J15&lt;J16),(((D24-D19+D20+D21-D22-D23-D18)*D14+(D13+D15+D17))+((J24-J19+J20+J21-J22-J23-J18)*J14+(J13+J15+J17)))/24,0)</f>
        <v>0</v>
      </c>
    </row>
    <row r="24" spans="1:18">
      <c r="A24" s="49"/>
      <c r="B24" s="153" t="s">
        <v>43</v>
      </c>
      <c r="C24" s="166"/>
      <c r="D24" s="123"/>
      <c r="E24" s="194" t="s">
        <v>43</v>
      </c>
      <c r="F24" s="194"/>
      <c r="G24" s="70"/>
      <c r="H24" s="194" t="s">
        <v>43</v>
      </c>
      <c r="I24" s="194"/>
      <c r="J24" s="70"/>
      <c r="K24" s="49"/>
      <c r="L24" s="49"/>
      <c r="M24" s="49"/>
    </row>
    <row r="25" spans="1:18">
      <c r="A25" s="49"/>
      <c r="B25" s="207" t="s">
        <v>174</v>
      </c>
      <c r="C25" s="207"/>
      <c r="D25" s="208"/>
      <c r="E25" s="206" t="s">
        <v>173</v>
      </c>
      <c r="F25" s="206"/>
      <c r="G25" s="206"/>
      <c r="H25" s="208" t="s">
        <v>174</v>
      </c>
      <c r="I25" s="208"/>
      <c r="J25" s="208"/>
      <c r="K25" s="49"/>
      <c r="L25" s="49"/>
      <c r="M25" s="49"/>
      <c r="P25" t="s">
        <v>55</v>
      </c>
      <c r="Q25" t="s">
        <v>56</v>
      </c>
    </row>
    <row r="26" spans="1:18">
      <c r="A26" s="49"/>
      <c r="B26" s="49"/>
      <c r="C26" s="49"/>
      <c r="D26" s="49"/>
      <c r="E26" s="194" t="s">
        <v>7</v>
      </c>
      <c r="F26" s="194"/>
      <c r="G26" s="72">
        <f>P8</f>
        <v>0</v>
      </c>
      <c r="H26" s="49"/>
      <c r="I26" s="49"/>
      <c r="J26" s="49"/>
      <c r="K26" s="49"/>
      <c r="L26" s="49"/>
      <c r="M26" s="49"/>
      <c r="P26" s="3">
        <f>IF(H9="Yes",(((D24-D19+D20+D21-D22-D23-D18)*D14+(D13+D15+D17)))/12,0)</f>
        <v>0</v>
      </c>
      <c r="Q26" s="3">
        <f>IF(H9="Yes",((J24-J19+J20+J21-J22-J23-J18)*J14+(J13+J15+J17))/12,0)</f>
        <v>0</v>
      </c>
    </row>
    <row r="27" spans="1:18">
      <c r="A27" s="49"/>
      <c r="B27" s="49"/>
      <c r="C27" s="49"/>
      <c r="D27" s="49"/>
      <c r="E27" s="194" t="s">
        <v>7</v>
      </c>
      <c r="F27" s="194"/>
      <c r="G27" s="73">
        <f>IF(AND(H9="No",G15&gt;=G16),Q14,IF(AND(H9="No",G15&lt;G16),Q17,IF(H9="Yes",P14,0)))</f>
        <v>0</v>
      </c>
      <c r="H27" s="49"/>
      <c r="I27" s="49"/>
      <c r="J27" s="49"/>
      <c r="K27" s="49"/>
      <c r="L27" s="49"/>
      <c r="M27" s="49"/>
    </row>
    <row r="28" spans="1:18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P28" t="s">
        <v>148</v>
      </c>
      <c r="Q28" t="s">
        <v>150</v>
      </c>
      <c r="R28" t="s">
        <v>152</v>
      </c>
    </row>
    <row r="29" spans="1:18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P29" s="3">
        <f>IF(AND(H9="No",(D15&lt;D16)),((D24-D19+D20+D21-D22-D23-D18)*D14+(D13+D15+D17))/12,0)</f>
        <v>0</v>
      </c>
      <c r="Q29" s="3">
        <f>IF(AND(H9="No",(J15&lt;J16)),((J24-J19+J20+J21-J22-J23-J18)*J14+(J13+J15+J17))/12,0)</f>
        <v>0</v>
      </c>
      <c r="R29" s="3">
        <f>(P29+Q31)/2</f>
        <v>0</v>
      </c>
    </row>
    <row r="30" spans="1:18">
      <c r="A30" s="158" t="s">
        <v>216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49"/>
      <c r="M30" s="49"/>
      <c r="P30" t="s">
        <v>149</v>
      </c>
      <c r="Q30" t="s">
        <v>151</v>
      </c>
      <c r="R30" t="s">
        <v>153</v>
      </c>
    </row>
    <row r="31" spans="1:18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P31" s="3">
        <f>IF(AND(H9="No",(D15&gt;=D16)),((D24-D19+D20+D21-D22-D23-D18)*D14+(D13+D16+D17))/12,0)</f>
        <v>0</v>
      </c>
      <c r="Q31" s="3">
        <f>IF(AND(H9="No",(J15&gt;J16)),((J24-J19+J20+J21-J22-J23-J18)*J14+(J13+J16+J17))/12,0)</f>
        <v>0</v>
      </c>
      <c r="R31" s="3">
        <f>(P31+Q29)/2</f>
        <v>0</v>
      </c>
    </row>
    <row r="32" spans="1:18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idden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idden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idden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idden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idden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idden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idden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idden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idden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idden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idden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idden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idden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idden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idden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idden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idden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idden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idden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idden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idden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65" customFormat="1"/>
    <row r="66" customFormat="1" hidden="1"/>
    <row r="67" customFormat="1" hidden="1"/>
    <row r="68" customFormat="1" hidden="1"/>
    <row r="69" customFormat="1" hidden="1"/>
    <row r="70" customFormat="1" hidden="1"/>
    <row r="71" customFormat="1" hidden="1"/>
    <row r="72" customFormat="1" hidden="1"/>
    <row r="73" customFormat="1" hidden="1"/>
    <row r="74" customFormat="1" hidden="1"/>
    <row r="75" customFormat="1" hidden="1"/>
    <row r="76" customFormat="1" hidden="1"/>
    <row r="77" customFormat="1" hidden="1"/>
    <row r="78" customFormat="1" hidden="1"/>
    <row r="79" customFormat="1" hidden="1"/>
    <row r="80" customFormat="1" hidden="1"/>
    <row r="81" customFormat="1" hidden="1"/>
    <row r="82" customFormat="1" hidden="1"/>
    <row r="83" customFormat="1" hidden="1"/>
    <row r="84" customFormat="1" hidden="1"/>
    <row r="85" customFormat="1" hidden="1"/>
    <row r="86" customFormat="1" hidden="1"/>
    <row r="87" customFormat="1" hidden="1"/>
    <row r="88" customFormat="1" hidden="1"/>
    <row r="89" customFormat="1" hidden="1"/>
    <row r="90" customFormat="1" hidden="1"/>
    <row r="91" customFormat="1" hidden="1"/>
    <row r="92" customFormat="1" hidden="1"/>
    <row r="93" customFormat="1" hidden="1"/>
  </sheetData>
  <sheetProtection algorithmName="SHA-512" hashValue="RkQHXDAuYUSFtdcQfSqjwyA4+6OQ/xjscHli3+5Ocl+RWQmnS7L1QHBbz+ppb9aGsnvHgQrDndkvtF+PV8jtBA==" saltValue="lu0bRxIBD2dkM2u1HrRizQ==" spinCount="100000" sheet="1" selectLockedCells="1"/>
  <mergeCells count="57">
    <mergeCell ref="D10:G10"/>
    <mergeCell ref="H10:I10"/>
    <mergeCell ref="D11:G11"/>
    <mergeCell ref="H11:I11"/>
    <mergeCell ref="E17:F17"/>
    <mergeCell ref="B12:D12"/>
    <mergeCell ref="E12:G12"/>
    <mergeCell ref="H12:J12"/>
    <mergeCell ref="B15:C15"/>
    <mergeCell ref="E25:G25"/>
    <mergeCell ref="B25:D25"/>
    <mergeCell ref="H25:J25"/>
    <mergeCell ref="E20:F20"/>
    <mergeCell ref="E21:F21"/>
    <mergeCell ref="E22:F22"/>
    <mergeCell ref="E23:F23"/>
    <mergeCell ref="E24:F24"/>
    <mergeCell ref="B21:C21"/>
    <mergeCell ref="B23:C23"/>
    <mergeCell ref="B24:C24"/>
    <mergeCell ref="B22:C22"/>
    <mergeCell ref="B18:C18"/>
    <mergeCell ref="B19:C19"/>
    <mergeCell ref="H13:I13"/>
    <mergeCell ref="H14:I14"/>
    <mergeCell ref="B14:C14"/>
    <mergeCell ref="H16:I16"/>
    <mergeCell ref="E14:F14"/>
    <mergeCell ref="E15:F15"/>
    <mergeCell ref="E16:F16"/>
    <mergeCell ref="H15:I15"/>
    <mergeCell ref="E18:F18"/>
    <mergeCell ref="E19:F19"/>
    <mergeCell ref="E13:F13"/>
    <mergeCell ref="B13:C13"/>
    <mergeCell ref="A1:M4"/>
    <mergeCell ref="A5:M5"/>
    <mergeCell ref="G7:I7"/>
    <mergeCell ref="H8:I8"/>
    <mergeCell ref="D8:G8"/>
    <mergeCell ref="D7:F7"/>
    <mergeCell ref="D9:G9"/>
    <mergeCell ref="H9:I9"/>
    <mergeCell ref="A30:K30"/>
    <mergeCell ref="H22:I22"/>
    <mergeCell ref="H23:I23"/>
    <mergeCell ref="H24:I24"/>
    <mergeCell ref="E26:F26"/>
    <mergeCell ref="E27:F27"/>
    <mergeCell ref="H17:I17"/>
    <mergeCell ref="H18:I18"/>
    <mergeCell ref="H19:I19"/>
    <mergeCell ref="H20:I20"/>
    <mergeCell ref="H21:I21"/>
    <mergeCell ref="B20:C20"/>
    <mergeCell ref="B16:C16"/>
    <mergeCell ref="B17:C17"/>
  </mergeCells>
  <conditionalFormatting sqref="B12:D12">
    <cfRule type="expression" dxfId="832" priority="69">
      <formula>H8="Two"</formula>
    </cfRule>
    <cfRule type="expression" dxfId="831" priority="174">
      <formula>OR(H8="Select Option",H8="One")</formula>
    </cfRule>
  </conditionalFormatting>
  <conditionalFormatting sqref="B13:D13">
    <cfRule type="expression" dxfId="830" priority="173">
      <formula>OR(H8="Select Option",H8="One")</formula>
    </cfRule>
  </conditionalFormatting>
  <conditionalFormatting sqref="B14:D14">
    <cfRule type="expression" dxfId="829" priority="172">
      <formula>OR(H8="Select Option",H8="One")</formula>
    </cfRule>
  </conditionalFormatting>
  <conditionalFormatting sqref="D14">
    <cfRule type="expression" dxfId="828" priority="67">
      <formula>H8="Two"</formula>
    </cfRule>
    <cfRule type="expression" dxfId="827" priority="171">
      <formula>OR(H8="Select Option",H8="One")</formula>
    </cfRule>
  </conditionalFormatting>
  <conditionalFormatting sqref="B15:C15">
    <cfRule type="expression" dxfId="826" priority="170">
      <formula>OR(H8="Select Option",H8="One")</formula>
    </cfRule>
  </conditionalFormatting>
  <conditionalFormatting sqref="D15">
    <cfRule type="expression" dxfId="825" priority="66">
      <formula>H8="Two"</formula>
    </cfRule>
    <cfRule type="expression" dxfId="824" priority="169">
      <formula>OR(H8="Select Option",H8="One")</formula>
    </cfRule>
  </conditionalFormatting>
  <conditionalFormatting sqref="B16:C16">
    <cfRule type="expression" dxfId="823" priority="168">
      <formula>OR(H8="Select Option",H8="One")</formula>
    </cfRule>
  </conditionalFormatting>
  <conditionalFormatting sqref="D16">
    <cfRule type="expression" dxfId="822" priority="65">
      <formula>H8="Two"</formula>
    </cfRule>
    <cfRule type="expression" dxfId="821" priority="167">
      <formula>OR(H8="Select Option",H8="One")</formula>
    </cfRule>
  </conditionalFormatting>
  <conditionalFormatting sqref="B17:C17">
    <cfRule type="expression" dxfId="820" priority="166">
      <formula>OR(H8="Select Option",H8="One")</formula>
    </cfRule>
  </conditionalFormatting>
  <conditionalFormatting sqref="D17">
    <cfRule type="expression" dxfId="819" priority="64">
      <formula>H8="Two"</formula>
    </cfRule>
    <cfRule type="expression" dxfId="818" priority="165">
      <formula>OR(H8="Select Option",H8="One")</formula>
    </cfRule>
  </conditionalFormatting>
  <conditionalFormatting sqref="B18:C18">
    <cfRule type="expression" dxfId="817" priority="164">
      <formula>OR(H8="Select Option",H8="One")</formula>
    </cfRule>
  </conditionalFormatting>
  <conditionalFormatting sqref="D18">
    <cfRule type="expression" dxfId="816" priority="63">
      <formula>H8="Two"</formula>
    </cfRule>
    <cfRule type="expression" dxfId="815" priority="163">
      <formula>OR(H8="Select Option",H8="One")</formula>
    </cfRule>
  </conditionalFormatting>
  <conditionalFormatting sqref="B19:C19">
    <cfRule type="expression" dxfId="814" priority="162">
      <formula>OR(H8="Select Option",H8="One")</formula>
    </cfRule>
  </conditionalFormatting>
  <conditionalFormatting sqref="D19">
    <cfRule type="expression" dxfId="813" priority="62">
      <formula>H8="Two"</formula>
    </cfRule>
    <cfRule type="expression" dxfId="812" priority="161">
      <formula>OR(H8="Select Option",H8="One")</formula>
    </cfRule>
  </conditionalFormatting>
  <conditionalFormatting sqref="B20:C20">
    <cfRule type="expression" dxfId="811" priority="160">
      <formula>OR(H8="Select Option",H8="One")</formula>
    </cfRule>
  </conditionalFormatting>
  <conditionalFormatting sqref="D20">
    <cfRule type="expression" dxfId="810" priority="61">
      <formula>H8="Two"</formula>
    </cfRule>
    <cfRule type="expression" dxfId="809" priority="159">
      <formula>OR(H8="Select Option",H8="One")</formula>
    </cfRule>
  </conditionalFormatting>
  <conditionalFormatting sqref="B21:C21">
    <cfRule type="expression" dxfId="808" priority="158">
      <formula>OR(H8="Select Option",H8="One")</formula>
    </cfRule>
  </conditionalFormatting>
  <conditionalFormatting sqref="D21">
    <cfRule type="expression" dxfId="807" priority="60">
      <formula>H8="Two"</formula>
    </cfRule>
    <cfRule type="expression" dxfId="806" priority="157">
      <formula>OR(H8="Select Option",H8="One")</formula>
    </cfRule>
  </conditionalFormatting>
  <conditionalFormatting sqref="B22:C22">
    <cfRule type="expression" dxfId="805" priority="156">
      <formula>OR(H8="Select Option",H8="One")</formula>
    </cfRule>
  </conditionalFormatting>
  <conditionalFormatting sqref="D22">
    <cfRule type="expression" dxfId="804" priority="59">
      <formula>H8="Two"</formula>
    </cfRule>
    <cfRule type="expression" dxfId="803" priority="155">
      <formula>OR(H8="Select Option",H8="One")</formula>
    </cfRule>
  </conditionalFormatting>
  <conditionalFormatting sqref="B23:C23">
    <cfRule type="expression" dxfId="802" priority="154">
      <formula>OR(H8="Select Option",H8="One")</formula>
    </cfRule>
  </conditionalFormatting>
  <conditionalFormatting sqref="D23">
    <cfRule type="expression" dxfId="801" priority="58">
      <formula>H8="Two"</formula>
    </cfRule>
    <cfRule type="expression" dxfId="800" priority="153">
      <formula>OR(H8="Select Option",H8="One")</formula>
    </cfRule>
  </conditionalFormatting>
  <conditionalFormatting sqref="B24:C24">
    <cfRule type="expression" dxfId="799" priority="152">
      <formula>OR(H8="Select Option",H8="One")</formula>
    </cfRule>
  </conditionalFormatting>
  <conditionalFormatting sqref="D24">
    <cfRule type="expression" dxfId="798" priority="57">
      <formula>H8="Two"</formula>
    </cfRule>
    <cfRule type="expression" dxfId="797" priority="151">
      <formula>OR(H8="Select Option",H8="One")</formula>
    </cfRule>
  </conditionalFormatting>
  <conditionalFormatting sqref="H12:J12">
    <cfRule type="expression" dxfId="796" priority="150">
      <formula>OR(H8="Select Option",H8="One")</formula>
    </cfRule>
  </conditionalFormatting>
  <conditionalFormatting sqref="H13:I13">
    <cfRule type="expression" dxfId="795" priority="44">
      <formula>H8="Two"</formula>
    </cfRule>
    <cfRule type="expression" dxfId="794" priority="149">
      <formula>OR(H8="Select Option",H8="One")</formula>
    </cfRule>
  </conditionalFormatting>
  <conditionalFormatting sqref="J13">
    <cfRule type="expression" dxfId="793" priority="56">
      <formula>H8="Two"</formula>
    </cfRule>
    <cfRule type="expression" dxfId="792" priority="148">
      <formula>OR(H8="Select Option",H8="One")</formula>
    </cfRule>
  </conditionalFormatting>
  <conditionalFormatting sqref="H14:I14">
    <cfRule type="expression" dxfId="791" priority="43">
      <formula>H8="Two"</formula>
    </cfRule>
    <cfRule type="expression" dxfId="790" priority="147">
      <formula>OR(H8="Select Option",H8="One")</formula>
    </cfRule>
  </conditionalFormatting>
  <conditionalFormatting sqref="J14">
    <cfRule type="expression" dxfId="789" priority="55">
      <formula>H8="Two"</formula>
    </cfRule>
    <cfRule type="expression" dxfId="788" priority="146">
      <formula>OR(H8="Select Option",H8="One")</formula>
    </cfRule>
  </conditionalFormatting>
  <conditionalFormatting sqref="H15:I15">
    <cfRule type="expression" dxfId="787" priority="42">
      <formula>H8="Two"</formula>
    </cfRule>
    <cfRule type="expression" dxfId="786" priority="145">
      <formula>OR(H8="Select Option",H8="One")</formula>
    </cfRule>
  </conditionalFormatting>
  <conditionalFormatting sqref="J15">
    <cfRule type="expression" dxfId="785" priority="54">
      <formula>H8="Two"</formula>
    </cfRule>
    <cfRule type="expression" dxfId="784" priority="144">
      <formula>OR(H8="Select Option",H8="One")</formula>
    </cfRule>
  </conditionalFormatting>
  <conditionalFormatting sqref="H16:I16">
    <cfRule type="expression" dxfId="783" priority="41">
      <formula>H8="Two"</formula>
    </cfRule>
    <cfRule type="expression" dxfId="782" priority="143">
      <formula>OR(H8="Select Option",H8="One")</formula>
    </cfRule>
  </conditionalFormatting>
  <conditionalFormatting sqref="J16">
    <cfRule type="expression" dxfId="781" priority="53">
      <formula>H8="Two"</formula>
    </cfRule>
    <cfRule type="expression" dxfId="780" priority="142">
      <formula>OR(H8="Select Option",H8="One")</formula>
    </cfRule>
  </conditionalFormatting>
  <conditionalFormatting sqref="H17:I17">
    <cfRule type="expression" dxfId="779" priority="40">
      <formula>H8="Two"</formula>
    </cfRule>
    <cfRule type="expression" dxfId="778" priority="141">
      <formula>OR(H8="Select Option",H8="One")</formula>
    </cfRule>
  </conditionalFormatting>
  <conditionalFormatting sqref="J17">
    <cfRule type="expression" dxfId="777" priority="52">
      <formula>H8="Two"</formula>
    </cfRule>
    <cfRule type="expression" dxfId="776" priority="140">
      <formula>OR(H8="Select Option",H8="One")</formula>
    </cfRule>
  </conditionalFormatting>
  <conditionalFormatting sqref="H18:I18">
    <cfRule type="expression" dxfId="775" priority="39">
      <formula>H8="Two"</formula>
    </cfRule>
    <cfRule type="expression" dxfId="774" priority="139">
      <formula>OR(H8="Select Option",H8="One")</formula>
    </cfRule>
  </conditionalFormatting>
  <conditionalFormatting sqref="J18">
    <cfRule type="expression" dxfId="773" priority="51">
      <formula>H8="Two"</formula>
    </cfRule>
    <cfRule type="expression" dxfId="772" priority="138">
      <formula>OR(H8="Select Option",H8="One")</formula>
    </cfRule>
  </conditionalFormatting>
  <conditionalFormatting sqref="H19:I19">
    <cfRule type="expression" dxfId="771" priority="38">
      <formula>H8="Two"</formula>
    </cfRule>
    <cfRule type="expression" dxfId="770" priority="137">
      <formula>OR(H8="Select Option",H8="One")</formula>
    </cfRule>
  </conditionalFormatting>
  <conditionalFormatting sqref="J19">
    <cfRule type="expression" dxfId="769" priority="50">
      <formula>H8="Two"</formula>
    </cfRule>
    <cfRule type="expression" dxfId="768" priority="136">
      <formula>OR(H8="Select Option",H8="One")</formula>
    </cfRule>
  </conditionalFormatting>
  <conditionalFormatting sqref="H20:I20">
    <cfRule type="expression" dxfId="767" priority="36">
      <formula>H8="Two"</formula>
    </cfRule>
    <cfRule type="expression" dxfId="766" priority="135">
      <formula>OR(H8="Select Option",H8="One")</formula>
    </cfRule>
  </conditionalFormatting>
  <conditionalFormatting sqref="J20">
    <cfRule type="expression" dxfId="765" priority="49">
      <formula>H8="Two"</formula>
    </cfRule>
    <cfRule type="expression" dxfId="764" priority="134">
      <formula>OR(H8="Select Option",H8="One")</formula>
    </cfRule>
  </conditionalFormatting>
  <conditionalFormatting sqref="H21:I21">
    <cfRule type="expression" dxfId="763" priority="35">
      <formula>H8="Two"</formula>
    </cfRule>
    <cfRule type="expression" dxfId="762" priority="133">
      <formula>OR(H8="Select Option",H8="One")</formula>
    </cfRule>
  </conditionalFormatting>
  <conditionalFormatting sqref="J21">
    <cfRule type="expression" dxfId="761" priority="48">
      <formula>H8="Two"</formula>
    </cfRule>
    <cfRule type="expression" dxfId="760" priority="132">
      <formula>OR(H8="Select Option",H8="One")</formula>
    </cfRule>
  </conditionalFormatting>
  <conditionalFormatting sqref="H22:I22">
    <cfRule type="expression" dxfId="759" priority="34">
      <formula>H8="Two"</formula>
    </cfRule>
    <cfRule type="expression" dxfId="758" priority="131">
      <formula>OR(H8="Select Option",H8="One")</formula>
    </cfRule>
  </conditionalFormatting>
  <conditionalFormatting sqref="J22">
    <cfRule type="expression" dxfId="757" priority="47">
      <formula>H8="Two"</formula>
    </cfRule>
    <cfRule type="expression" dxfId="756" priority="130">
      <formula>OR(H8="Select Option",H8="One")</formula>
    </cfRule>
  </conditionalFormatting>
  <conditionalFormatting sqref="H23:I23">
    <cfRule type="expression" dxfId="755" priority="33">
      <formula>H8="Two"</formula>
    </cfRule>
    <cfRule type="expression" dxfId="754" priority="129">
      <formula>OR(H8="Select Option",H8="One")</formula>
    </cfRule>
  </conditionalFormatting>
  <conditionalFormatting sqref="J23">
    <cfRule type="expression" dxfId="753" priority="46">
      <formula>H8="Two"</formula>
    </cfRule>
    <cfRule type="expression" dxfId="752" priority="128">
      <formula>OR(H8="Select Option",H8="One")</formula>
    </cfRule>
  </conditionalFormatting>
  <conditionalFormatting sqref="H24:I24">
    <cfRule type="expression" dxfId="751" priority="32">
      <formula>H8="Two"</formula>
    </cfRule>
    <cfRule type="expression" dxfId="750" priority="127">
      <formula>OR(H8="Select Option",H8="One")</formula>
    </cfRule>
  </conditionalFormatting>
  <conditionalFormatting sqref="J24">
    <cfRule type="expression" dxfId="749" priority="45">
      <formula>H8="Two"</formula>
    </cfRule>
    <cfRule type="expression" dxfId="748" priority="126">
      <formula>OR(H8="Select Option",H8="One")</formula>
    </cfRule>
  </conditionalFormatting>
  <conditionalFormatting sqref="E26:F26">
    <cfRule type="expression" dxfId="747" priority="31">
      <formula>H8="Two"</formula>
    </cfRule>
    <cfRule type="expression" dxfId="746" priority="125">
      <formula>OR(H8="Select Option",H8="One")</formula>
    </cfRule>
  </conditionalFormatting>
  <conditionalFormatting sqref="G26">
    <cfRule type="expression" dxfId="745" priority="30">
      <formula>H8="Two"</formula>
    </cfRule>
    <cfRule type="expression" dxfId="744" priority="124">
      <formula>OR(H8="Select Option",H8="One")</formula>
    </cfRule>
  </conditionalFormatting>
  <conditionalFormatting sqref="E13:F13">
    <cfRule type="expression" dxfId="743" priority="122">
      <formula>OR(H8="Select Option",H8="Two")</formula>
    </cfRule>
  </conditionalFormatting>
  <conditionalFormatting sqref="G13">
    <cfRule type="expression" dxfId="742" priority="95">
      <formula>H8="One"</formula>
    </cfRule>
    <cfRule type="expression" dxfId="741" priority="121">
      <formula>OR(H8="Select Option",H8="Two")</formula>
    </cfRule>
  </conditionalFormatting>
  <conditionalFormatting sqref="E14:F14">
    <cfRule type="expression" dxfId="740" priority="96">
      <formula>H8="One"</formula>
    </cfRule>
    <cfRule type="expression" dxfId="739" priority="120">
      <formula>OR(H8="Select Option",H8="Two")</formula>
    </cfRule>
  </conditionalFormatting>
  <conditionalFormatting sqref="G14">
    <cfRule type="expression" dxfId="738" priority="91">
      <formula>H8="One"</formula>
    </cfRule>
    <cfRule type="expression" dxfId="737" priority="119">
      <formula>OR(H8="Select Option",H8="Two")</formula>
    </cfRule>
  </conditionalFormatting>
  <conditionalFormatting sqref="E15:F15">
    <cfRule type="expression" dxfId="736" priority="80">
      <formula>H8="One"</formula>
    </cfRule>
    <cfRule type="expression" dxfId="735" priority="118">
      <formula>OR(H8="Select Option",H8="Two")</formula>
    </cfRule>
  </conditionalFormatting>
  <conditionalFormatting sqref="G15">
    <cfRule type="expression" dxfId="734" priority="92">
      <formula>H8="One"</formula>
    </cfRule>
    <cfRule type="expression" dxfId="733" priority="117">
      <formula>OR(H8="Select Option",H8="Two")</formula>
    </cfRule>
  </conditionalFormatting>
  <conditionalFormatting sqref="E16:F16">
    <cfRule type="expression" dxfId="732" priority="79">
      <formula>H8="One"</formula>
    </cfRule>
    <cfRule type="expression" dxfId="731" priority="116">
      <formula>OR(H8="Select Option",H8="Two")</formula>
    </cfRule>
  </conditionalFormatting>
  <conditionalFormatting sqref="G16">
    <cfRule type="expression" dxfId="730" priority="90">
      <formula>H8="One"</formula>
    </cfRule>
    <cfRule type="expression" dxfId="729" priority="115">
      <formula>OR(H8="Select Option",H8="Two")</formula>
    </cfRule>
  </conditionalFormatting>
  <conditionalFormatting sqref="E17:F17">
    <cfRule type="expression" dxfId="728" priority="78">
      <formula>H8="One"</formula>
    </cfRule>
    <cfRule type="expression" dxfId="727" priority="114">
      <formula>OR(H8="Select Option",H8="Two")</formula>
    </cfRule>
  </conditionalFormatting>
  <conditionalFormatting sqref="G17">
    <cfRule type="expression" dxfId="726" priority="89">
      <formula>H8="One"</formula>
    </cfRule>
    <cfRule type="expression" dxfId="725" priority="113">
      <formula>OR(H8="Select Option",H8="Two")</formula>
    </cfRule>
  </conditionalFormatting>
  <conditionalFormatting sqref="E18:F18">
    <cfRule type="expression" dxfId="724" priority="77">
      <formula>H8="One"</formula>
    </cfRule>
    <cfRule type="expression" dxfId="723" priority="112">
      <formula>OR(H8="Select Option",H8="Two")</formula>
    </cfRule>
  </conditionalFormatting>
  <conditionalFormatting sqref="G18">
    <cfRule type="expression" dxfId="722" priority="88">
      <formula>H8="One"</formula>
    </cfRule>
    <cfRule type="expression" dxfId="721" priority="111">
      <formula>OR(H8="Select Option",H8="Two")</formula>
    </cfRule>
  </conditionalFormatting>
  <conditionalFormatting sqref="E19:F19">
    <cfRule type="expression" dxfId="720" priority="76">
      <formula>H8="One"</formula>
    </cfRule>
    <cfRule type="expression" dxfId="719" priority="110">
      <formula>OR(H8="Select Option",H8="Two")</formula>
    </cfRule>
  </conditionalFormatting>
  <conditionalFormatting sqref="G19">
    <cfRule type="expression" dxfId="718" priority="87">
      <formula>H8="One"</formula>
    </cfRule>
    <cfRule type="expression" dxfId="717" priority="109">
      <formula>OR(H8="Select Option",H8="Two")</formula>
    </cfRule>
  </conditionalFormatting>
  <conditionalFormatting sqref="E20:F20">
    <cfRule type="expression" dxfId="716" priority="75">
      <formula>H8="One"</formula>
    </cfRule>
    <cfRule type="expression" dxfId="715" priority="108">
      <formula>OR(H8="Select Option",H8="Two")</formula>
    </cfRule>
  </conditionalFormatting>
  <conditionalFormatting sqref="G20">
    <cfRule type="expression" dxfId="714" priority="86">
      <formula>H8="One"</formula>
    </cfRule>
    <cfRule type="expression" dxfId="713" priority="107">
      <formula>OR(H8="Select Option",H8="Two")</formula>
    </cfRule>
  </conditionalFormatting>
  <conditionalFormatting sqref="E21:F21">
    <cfRule type="expression" dxfId="712" priority="74">
      <formula>H8="One"</formula>
    </cfRule>
    <cfRule type="expression" dxfId="711" priority="106">
      <formula>OR(H8="Select Option",H8="Two")</formula>
    </cfRule>
  </conditionalFormatting>
  <conditionalFormatting sqref="G21">
    <cfRule type="expression" dxfId="710" priority="85">
      <formula>H8="One"</formula>
    </cfRule>
    <cfRule type="expression" dxfId="709" priority="105">
      <formula>OR(H8="Select Option",H8="Two")</formula>
    </cfRule>
  </conditionalFormatting>
  <conditionalFormatting sqref="E22:F22">
    <cfRule type="expression" dxfId="708" priority="73">
      <formula>H8="One"</formula>
    </cfRule>
    <cfRule type="expression" dxfId="707" priority="104">
      <formula>OR(H8="Select Option",H8="Two")</formula>
    </cfRule>
  </conditionalFormatting>
  <conditionalFormatting sqref="G22">
    <cfRule type="expression" dxfId="706" priority="84">
      <formula>H8="One"</formula>
    </cfRule>
    <cfRule type="expression" dxfId="705" priority="103">
      <formula>OR(H8="Select Option",H8="Two")</formula>
    </cfRule>
  </conditionalFormatting>
  <conditionalFormatting sqref="E23:F23">
    <cfRule type="expression" dxfId="704" priority="72">
      <formula>H8="One"</formula>
    </cfRule>
    <cfRule type="expression" dxfId="703" priority="102">
      <formula>OR(H8="Select Option",H8="Two")</formula>
    </cfRule>
  </conditionalFormatting>
  <conditionalFormatting sqref="G23">
    <cfRule type="expression" dxfId="702" priority="83">
      <formula>H8="One"</formula>
    </cfRule>
    <cfRule type="expression" dxfId="701" priority="101">
      <formula>OR(H8="Select Option",H8="Two")</formula>
    </cfRule>
  </conditionalFormatting>
  <conditionalFormatting sqref="E24:F24">
    <cfRule type="expression" dxfId="700" priority="71">
      <formula>H8="One"</formula>
    </cfRule>
    <cfRule type="expression" dxfId="699" priority="100">
      <formula>OR(H8="Select Option",H8="Two")</formula>
    </cfRule>
  </conditionalFormatting>
  <conditionalFormatting sqref="G24">
    <cfRule type="expression" dxfId="698" priority="82">
      <formula>H8="One"</formula>
    </cfRule>
    <cfRule type="expression" dxfId="697" priority="99">
      <formula>OR(H8="Select Option",H8="Two")</formula>
    </cfRule>
  </conditionalFormatting>
  <conditionalFormatting sqref="E27:F27">
    <cfRule type="expression" dxfId="696" priority="70">
      <formula>H8="One"</formula>
    </cfRule>
    <cfRule type="expression" dxfId="695" priority="98">
      <formula>OR(H8="Select Option",H8="Two")</formula>
    </cfRule>
  </conditionalFormatting>
  <conditionalFormatting sqref="G27">
    <cfRule type="expression" dxfId="694" priority="81">
      <formula>H8="One"</formula>
    </cfRule>
    <cfRule type="expression" dxfId="693" priority="97">
      <formula>OR(H8="Select Option",H8="Two")</formula>
    </cfRule>
  </conditionalFormatting>
  <conditionalFormatting sqref="D13">
    <cfRule type="expression" dxfId="692" priority="68">
      <formula>H8="Two"</formula>
    </cfRule>
  </conditionalFormatting>
  <conditionalFormatting sqref="E25:G25">
    <cfRule type="expression" dxfId="691" priority="24">
      <formula>G14=""</formula>
    </cfRule>
    <cfRule type="expression" dxfId="690" priority="25">
      <formula>G14&lt;25%</formula>
    </cfRule>
  </conditionalFormatting>
  <conditionalFormatting sqref="B25:D25">
    <cfRule type="expression" dxfId="689" priority="22">
      <formula>D14=""</formula>
    </cfRule>
    <cfRule type="expression" dxfId="688" priority="23">
      <formula>D14&lt;25%</formula>
    </cfRule>
  </conditionalFormatting>
  <conditionalFormatting sqref="H25:J25">
    <cfRule type="expression" dxfId="687" priority="20">
      <formula>J14=""</formula>
    </cfRule>
    <cfRule type="expression" dxfId="686" priority="21">
      <formula>J14&lt;25%</formula>
    </cfRule>
  </conditionalFormatting>
  <conditionalFormatting sqref="D11:G11">
    <cfRule type="expression" dxfId="685" priority="16">
      <formula>$H$8="Select Option"</formula>
    </cfRule>
    <cfRule type="expression" dxfId="684" priority="17">
      <formula>$H$10="Yes"</formula>
    </cfRule>
    <cfRule type="expression" dxfId="683" priority="18">
      <formula>AND($U$2="No",$U$9="No")</formula>
    </cfRule>
    <cfRule type="expression" dxfId="682" priority="2">
      <formula>$U$9="Yes"</formula>
    </cfRule>
    <cfRule type="expression" dxfId="681" priority="19">
      <formula>$H$10="Select Option"</formula>
    </cfRule>
  </conditionalFormatting>
  <conditionalFormatting sqref="H11">
    <cfRule type="expression" dxfId="680" priority="13">
      <formula>$H$10="Yes"</formula>
    </cfRule>
    <cfRule type="expression" dxfId="679" priority="14">
      <formula>AND($U$2="No",$U$9="No")</formula>
    </cfRule>
    <cfRule type="expression" dxfId="678" priority="12">
      <formula>$U$9="Yes"</formula>
    </cfRule>
    <cfRule type="expression" dxfId="677" priority="15">
      <formula>$H$10="Select Option"</formula>
    </cfRule>
  </conditionalFormatting>
  <conditionalFormatting sqref="E12:G12">
    <cfRule type="expression" dxfId="676" priority="1">
      <formula>$H$8="Select Option"</formula>
    </cfRule>
    <cfRule type="expression" dxfId="675" priority="6">
      <formula>AND($H$8="Two",$H$10="Select Option")</formula>
    </cfRule>
    <cfRule type="expression" dxfId="674" priority="7">
      <formula>AND($U$9="Yes",$H$8="Two")</formula>
    </cfRule>
    <cfRule type="expression" dxfId="673" priority="9">
      <formula>AND($H$8="Two",$H$10="Yes")</formula>
    </cfRule>
    <cfRule type="expression" dxfId="672" priority="10">
      <formula>AND($U$2="No",$U$9="No",$H$8="Two")</formula>
    </cfRule>
    <cfRule type="expression" dxfId="671" priority="11">
      <formula>OR(H8="Select Option",H8="Two")</formula>
    </cfRule>
  </conditionalFormatting>
  <conditionalFormatting sqref="D10:G10">
    <cfRule type="expression" dxfId="670" priority="4">
      <formula>$U$9="Yes"</formula>
    </cfRule>
  </conditionalFormatting>
  <conditionalFormatting sqref="H10">
    <cfRule type="expression" dxfId="669" priority="3">
      <formula>$U$9="Yes"</formula>
    </cfRule>
  </conditionalFormatting>
  <dataValidations count="1">
    <dataValidation type="list" allowBlank="1" showInputMessage="1" showErrorMessage="1" sqref="H11 H10:I10" xr:uid="{84ED68CE-E710-4F25-A46F-0ED8CC8E22EC}">
      <formula1>"Select Option, Yes, No"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4" r:id="rId4" name="Button 4">
              <controlPr locked="0" defaultSize="0" print="0" autoFill="0" autoPict="0" macro="[0]!PartnershipSCorp_Click">
                <anchor moveWithCells="1" sizeWithCells="1">
                  <from>
                    <xdr:col>9</xdr:col>
                    <xdr:colOff>704850</xdr:colOff>
                    <xdr:row>6</xdr:row>
                    <xdr:rowOff>180975</xdr:rowOff>
                  </from>
                  <to>
                    <xdr:col>10</xdr:col>
                    <xdr:colOff>619125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69F19B-A428-4F1C-A9E2-A13CB08D6227}">
          <x14:formula1>
            <xm:f>Lists!$C$11:$C$13</xm:f>
          </x14:formula1>
          <xm:sqref>H8:I8</xm:sqref>
        </x14:dataValidation>
        <x14:dataValidation type="list" allowBlank="1" showInputMessage="1" showErrorMessage="1" xr:uid="{699DB502-D843-44D7-B0E7-CFB5F202C511}">
          <x14:formula1>
            <xm:f>Lists!$E$11:$E$13</xm:f>
          </x14:formula1>
          <xm:sqref>H9:I9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46542-A01A-4382-9004-EF819EF0A1D6}">
  <sheetPr codeName="Sheet26"/>
  <dimension ref="A1:XFC57"/>
  <sheetViews>
    <sheetView workbookViewId="0">
      <selection activeCell="G7" sqref="G7:I7"/>
    </sheetView>
  </sheetViews>
  <sheetFormatPr defaultColWidth="0" defaultRowHeight="16.5" customHeight="1" zeroHeight="1"/>
  <cols>
    <col min="1" max="1" width="7.25" style="52" customWidth="1"/>
    <col min="2" max="2" width="24.375" style="52" customWidth="1"/>
    <col min="3" max="3" width="15.75" style="52" customWidth="1"/>
    <col min="4" max="4" width="13.375" style="52" customWidth="1"/>
    <col min="5" max="5" width="24" style="52" customWidth="1"/>
    <col min="6" max="6" width="16.625" style="52" customWidth="1"/>
    <col min="7" max="7" width="13" style="52" customWidth="1"/>
    <col min="8" max="8" width="14.625" style="52" customWidth="1"/>
    <col min="9" max="9" width="25.75" style="52" customWidth="1"/>
    <col min="10" max="10" width="12.25" style="52" customWidth="1"/>
    <col min="11" max="11" width="9.25" style="52" customWidth="1"/>
    <col min="12" max="12" width="5.25" style="52" customWidth="1"/>
    <col min="13" max="13" width="8.875" style="52" hidden="1" customWidth="1"/>
    <col min="14" max="16383" width="10.25" hidden="1"/>
    <col min="16384" max="16384" width="9.75" hidden="1"/>
  </cols>
  <sheetData>
    <row r="1" spans="1:23" ht="14.25">
      <c r="A1" s="143" t="s">
        <v>154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R1" t="s">
        <v>556</v>
      </c>
      <c r="S1" t="s">
        <v>557</v>
      </c>
      <c r="T1" t="s">
        <v>558</v>
      </c>
      <c r="U1" t="s">
        <v>559</v>
      </c>
      <c r="V1" t="s">
        <v>560</v>
      </c>
    </row>
    <row r="2" spans="1:23" ht="14.2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O2" s="137">
        <f ca="1">TODAY()</f>
        <v>45022</v>
      </c>
      <c r="R2" s="137">
        <f ca="1">DATE(YEAR(O2),4,18)</f>
        <v>45034</v>
      </c>
      <c r="S2" s="137">
        <f ca="1">DATE(YEAR(O2),10,15)</f>
        <v>45214</v>
      </c>
      <c r="T2" t="str">
        <f ca="1">IF(MONTH(O2)&gt;=4,"Yes","No")</f>
        <v>Yes</v>
      </c>
      <c r="U2" t="str">
        <f ca="1">IF(AND(O2&gt;R2,O2&lt;=S2),"Yes","No")</f>
        <v>No</v>
      </c>
      <c r="V2" t="str">
        <f ca="1">IF(O2&gt;DATE(YEAR(O2),10,15),"Yes","No")</f>
        <v>No</v>
      </c>
    </row>
    <row r="3" spans="1:23" ht="14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P3" t="s">
        <v>165</v>
      </c>
      <c r="Q3" t="s">
        <v>164</v>
      </c>
    </row>
    <row r="4" spans="1:23" ht="14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P4" s="3">
        <f>IF(AND(H9="No",(D15&gt;=D16)),ROUND(((D24-D19+D20+D21-D22-D23-D18)*D14+(D13+D16+D17))/12,2),IF(AND(H9="No",(D15&lt;D16)),ROUND(((D24-D19+D20+D21-D22-D23-D18)*D14+(D13+D15+D17))/12,2),IF(H9="Yes",ROUND((((D24-D19+D20+D21-D22-D23-D18)*D14+(D13+D15+D17)))/12,2),0)))</f>
        <v>0</v>
      </c>
      <c r="Q4" s="3">
        <f>IF(AND(H9="No",(J15&lt;J16)),ROUND(((J24-J19+J20+J21-J22-J23-J18)*J14+(J13+J15+J17))/12,2),IF(AND(H9="No",(J15&gt;=J16)),ROUND(((J24-J19+J20+J21-J22-J23-J18)*J14+(J13+J16+J17))/12,2),IF(H9="Yes",ROUND(((J24-J19+J20+J21-J22-J23-J18)*J14+(J13+J15+J17))/12,2),0)))</f>
        <v>0</v>
      </c>
      <c r="T4" t="s">
        <v>561</v>
      </c>
      <c r="U4">
        <f ca="1">YEAR(O2)-1</f>
        <v>2022</v>
      </c>
      <c r="W4" t="s">
        <v>566</v>
      </c>
    </row>
    <row r="5" spans="1:23" ht="14.25">
      <c r="A5" s="218" t="s">
        <v>170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P5" s="3"/>
      <c r="Q5" s="3"/>
      <c r="T5" t="s">
        <v>562</v>
      </c>
      <c r="U5">
        <f ca="1">YEAR(O2)-2</f>
        <v>2021</v>
      </c>
      <c r="W5" t="s">
        <v>567</v>
      </c>
    </row>
    <row r="6" spans="1:23" ht="14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T6" t="s">
        <v>563</v>
      </c>
      <c r="U6">
        <f ca="1">YEAR(O2)-3</f>
        <v>2020</v>
      </c>
    </row>
    <row r="7" spans="1:23" ht="14.25">
      <c r="A7" s="49"/>
      <c r="B7" s="49"/>
      <c r="C7" s="49"/>
      <c r="D7" s="201" t="s">
        <v>0</v>
      </c>
      <c r="E7" s="202"/>
      <c r="F7" s="203"/>
      <c r="G7" s="170"/>
      <c r="H7" s="156"/>
      <c r="I7" s="157"/>
      <c r="J7" s="49"/>
      <c r="K7" s="49"/>
      <c r="L7" s="49"/>
      <c r="M7" s="49"/>
      <c r="P7" t="s">
        <v>166</v>
      </c>
    </row>
    <row r="8" spans="1:23" ht="14.25">
      <c r="A8" s="49"/>
      <c r="B8" s="49"/>
      <c r="C8" s="49"/>
      <c r="D8" s="198" t="s">
        <v>33</v>
      </c>
      <c r="E8" s="199"/>
      <c r="F8" s="199"/>
      <c r="G8" s="200"/>
      <c r="H8" s="196" t="s">
        <v>29</v>
      </c>
      <c r="I8" s="197"/>
      <c r="J8" s="49"/>
      <c r="K8" s="49"/>
      <c r="L8" s="49"/>
      <c r="M8" s="49"/>
      <c r="P8" s="3">
        <f>IF(Q4&gt;=P4,(P4+Q4)/2,IF(Q4&lt;P4,Q4,0))</f>
        <v>0</v>
      </c>
      <c r="T8" t="s">
        <v>564</v>
      </c>
      <c r="U8" t="str">
        <f ca="1">IF(AND(O2&gt;R2,H10="No"),"Yes","No")</f>
        <v>No</v>
      </c>
    </row>
    <row r="9" spans="1:23" ht="14.25">
      <c r="A9" s="49"/>
      <c r="B9" s="49"/>
      <c r="C9" s="49"/>
      <c r="D9" s="153" t="s">
        <v>45</v>
      </c>
      <c r="E9" s="184"/>
      <c r="F9" s="184"/>
      <c r="G9" s="154"/>
      <c r="H9" s="192" t="s">
        <v>46</v>
      </c>
      <c r="I9" s="193"/>
      <c r="J9" s="49"/>
      <c r="K9" s="49"/>
      <c r="L9" s="49"/>
      <c r="M9" s="49"/>
      <c r="T9" t="s">
        <v>565</v>
      </c>
      <c r="U9" t="str">
        <f ca="1">IF(O2&gt;S2,"Yes","No")</f>
        <v>No</v>
      </c>
    </row>
    <row r="10" spans="1:23" ht="14.25">
      <c r="A10" s="49"/>
      <c r="B10" s="49"/>
      <c r="C10" s="49"/>
      <c r="D10" s="153" t="str">
        <f ca="1">"Has the borrower filed their "&amp;YEAR(O2)-1&amp;" taxes?"</f>
        <v>Has the borrower filed their 2022 taxes?</v>
      </c>
      <c r="E10" s="184"/>
      <c r="F10" s="184"/>
      <c r="G10" s="166"/>
      <c r="H10" s="209" t="s">
        <v>29</v>
      </c>
      <c r="I10" s="210"/>
      <c r="J10" s="49"/>
      <c r="K10" s="49"/>
      <c r="L10" s="49"/>
      <c r="M10" s="49"/>
    </row>
    <row r="11" spans="1:23" ht="14.25">
      <c r="A11" s="49"/>
      <c r="B11" s="49"/>
      <c r="C11" s="49"/>
      <c r="D11" s="153" t="str">
        <f ca="1">"Is there evidence the borrower filed an extension for "&amp;YEAR(O2)-1&amp;"?"</f>
        <v>Is there evidence the borrower filed an extension for 2022?</v>
      </c>
      <c r="E11" s="184"/>
      <c r="F11" s="184"/>
      <c r="G11" s="154"/>
      <c r="H11" s="211" t="s">
        <v>29</v>
      </c>
      <c r="I11" s="212"/>
      <c r="J11" s="49"/>
      <c r="K11" s="49"/>
      <c r="L11" s="49"/>
      <c r="M11" s="49"/>
    </row>
    <row r="12" spans="1:23" ht="14.25">
      <c r="A12" s="49"/>
      <c r="B12" s="213" t="str">
        <f ca="1">IF(U9="Yes",W4&amp;U5&amp;")",IF(AND(U2="Yes",U8="Yes",H11="Yes"),W4&amp;U6&amp;")",IF(AND(U2="Yes",H10="Select Option"),"",IF(AND(U2="Yes",U8="Yes",H11="No"),W4&amp;U5&amp;")",IF(AND(U2="Yes",U8="No"),W4&amp;U5&amp;")",IF(AND(U2="No",U9="No",H10="No"),W4&amp;U6&amp;")",IF(AND(U2="No",U9="No",H10="Yes"),W4&amp;U5&amp;")","")))))))</f>
        <v/>
      </c>
      <c r="C12" s="214"/>
      <c r="D12" s="215"/>
      <c r="E12" s="180" t="str">
        <f ca="1">IF(U9="Yes",W5&amp;U4&amp;")",IF(AND(U2="Yes",U8="Yes",H11="Yes"),W5&amp;U5&amp;")",IF(AND(U2="Yes",H10="Select Option"),"",IF(AND(U2="Yes",U8="Yes",H11="No"),W5&amp;U4&amp;")",IF(AND(U2="Yes",U8="No"),W5&amp;U4&amp;")",IF(AND(U2="No",U9="No",H10="No"),W5&amp;U5&amp;")",IF(AND(U2="No",U9="No",H10="Yes"),W5&amp;U4&amp;")","")))))))</f>
        <v/>
      </c>
      <c r="F12" s="180"/>
      <c r="G12" s="216"/>
      <c r="H12" s="217" t="str">
        <f ca="1">IF(U9="Yes",W5&amp;U4&amp;")",IF(AND(U2="Yes",U8="Yes",H11="Yes"),W5&amp;U5&amp;")",IF(AND(U2="Yes",H10="Select Option"),"",IF(AND(U2="Yes",U8="Yes",H11="No"),W5&amp;U4&amp;")",IF(AND(U2="Yes",U8="No"),W5&amp;U4&amp;")",IF(AND(U2="No",U9="No",H10="No"),W5&amp;U5&amp;")",IF(AND(U2="No",U9="No",H10="Yes"),W5&amp;U4&amp;")","")))))))</f>
        <v/>
      </c>
      <c r="I12" s="217"/>
      <c r="J12" s="217"/>
      <c r="K12" s="49"/>
      <c r="L12" s="49"/>
      <c r="M12" s="49"/>
      <c r="P12" t="s">
        <v>49</v>
      </c>
      <c r="Q12" t="s">
        <v>50</v>
      </c>
    </row>
    <row r="13" spans="1:23" ht="14.25">
      <c r="A13" s="49"/>
      <c r="B13" s="153" t="s">
        <v>184</v>
      </c>
      <c r="C13" s="166"/>
      <c r="D13" s="125"/>
      <c r="E13" s="153" t="s">
        <v>184</v>
      </c>
      <c r="F13" s="166"/>
      <c r="G13" s="124"/>
      <c r="H13" s="204" t="s">
        <v>184</v>
      </c>
      <c r="I13" s="204"/>
      <c r="J13" s="126"/>
      <c r="K13" s="49"/>
      <c r="L13" s="49"/>
      <c r="M13" s="49"/>
    </row>
    <row r="14" spans="1:23" ht="14.25">
      <c r="A14" s="49"/>
      <c r="B14" s="153" t="s">
        <v>555</v>
      </c>
      <c r="C14" s="166"/>
      <c r="D14" s="122"/>
      <c r="E14" s="204" t="s">
        <v>555</v>
      </c>
      <c r="F14" s="204"/>
      <c r="G14" s="71"/>
      <c r="H14" s="194" t="s">
        <v>555</v>
      </c>
      <c r="I14" s="194"/>
      <c r="J14" s="71"/>
      <c r="K14" s="49"/>
      <c r="L14" s="49"/>
      <c r="M14" s="49"/>
      <c r="P14" s="3">
        <f>IF(H9="Yes",((G24-G19+G20+G21-G22-G23-G18)*G14+(G13+G15+G17))/12, 0)</f>
        <v>0</v>
      </c>
      <c r="Q14" s="3">
        <f>IF(AND(H9="No",(G15&gt;=G16)),((G24-G19+G20+G21-G22-G23-G18)*G14+(G13+G16+G17))/12,0)</f>
        <v>0</v>
      </c>
    </row>
    <row r="15" spans="1:23" ht="14.25">
      <c r="A15" s="49"/>
      <c r="B15" s="153" t="s">
        <v>186</v>
      </c>
      <c r="C15" s="166"/>
      <c r="D15" s="123"/>
      <c r="E15" s="194" t="s">
        <v>186</v>
      </c>
      <c r="F15" s="194"/>
      <c r="G15" s="70"/>
      <c r="H15" s="194" t="s">
        <v>186</v>
      </c>
      <c r="I15" s="194"/>
      <c r="J15" s="70"/>
      <c r="K15" s="49"/>
      <c r="L15" s="49"/>
      <c r="M15" s="49"/>
    </row>
    <row r="16" spans="1:23" ht="14.25">
      <c r="A16" s="49"/>
      <c r="B16" s="153" t="s">
        <v>197</v>
      </c>
      <c r="C16" s="166"/>
      <c r="D16" s="123"/>
      <c r="E16" s="194" t="s">
        <v>197</v>
      </c>
      <c r="F16" s="194"/>
      <c r="G16" s="70"/>
      <c r="H16" s="194" t="s">
        <v>197</v>
      </c>
      <c r="I16" s="194"/>
      <c r="J16" s="70"/>
      <c r="K16" s="49"/>
      <c r="L16" s="49"/>
      <c r="M16" s="49"/>
      <c r="Q16" t="s">
        <v>51</v>
      </c>
    </row>
    <row r="17" spans="1:18" ht="14.25" hidden="1">
      <c r="A17" s="49"/>
      <c r="B17" s="153" t="s">
        <v>48</v>
      </c>
      <c r="C17" s="166"/>
      <c r="D17" s="123"/>
      <c r="E17" s="194" t="s">
        <v>48</v>
      </c>
      <c r="F17" s="194"/>
      <c r="G17" s="70"/>
      <c r="H17" s="194" t="s">
        <v>48</v>
      </c>
      <c r="I17" s="194"/>
      <c r="J17" s="70"/>
      <c r="K17" s="49"/>
      <c r="L17" s="49"/>
      <c r="M17" s="49"/>
      <c r="Q17" s="3">
        <f>IF(AND(H9="No",(G15&lt;G16)),((G24-G19+G20+G21-G22-G23-G18)*G14+(G13+G15+G17))/12,0)</f>
        <v>0</v>
      </c>
    </row>
    <row r="18" spans="1:18" ht="14.25" hidden="1">
      <c r="A18" s="49"/>
      <c r="B18" s="153" t="s">
        <v>38</v>
      </c>
      <c r="C18" s="166"/>
      <c r="D18" s="123"/>
      <c r="E18" s="194" t="s">
        <v>38</v>
      </c>
      <c r="F18" s="194"/>
      <c r="G18" s="70"/>
      <c r="H18" s="194" t="s">
        <v>38</v>
      </c>
      <c r="I18" s="194"/>
      <c r="J18" s="70"/>
      <c r="K18" s="49"/>
      <c r="L18" s="49"/>
      <c r="M18" s="49"/>
    </row>
    <row r="19" spans="1:18" ht="14.25">
      <c r="A19" s="49"/>
      <c r="B19" s="153" t="s">
        <v>198</v>
      </c>
      <c r="C19" s="166"/>
      <c r="D19" s="123"/>
      <c r="E19" s="194" t="s">
        <v>198</v>
      </c>
      <c r="F19" s="194"/>
      <c r="G19" s="70"/>
      <c r="H19" s="194" t="s">
        <v>198</v>
      </c>
      <c r="I19" s="194"/>
      <c r="J19" s="70"/>
      <c r="K19" s="49"/>
      <c r="L19" s="49"/>
      <c r="M19" s="49"/>
      <c r="P19" t="s">
        <v>52</v>
      </c>
      <c r="Q19" t="s">
        <v>54</v>
      </c>
    </row>
    <row r="20" spans="1:18" ht="14.25">
      <c r="A20" s="49"/>
      <c r="B20" s="153" t="s">
        <v>200</v>
      </c>
      <c r="C20" s="166"/>
      <c r="D20" s="123"/>
      <c r="E20" s="194" t="s">
        <v>200</v>
      </c>
      <c r="F20" s="194"/>
      <c r="G20" s="70"/>
      <c r="H20" s="194" t="s">
        <v>200</v>
      </c>
      <c r="I20" s="194"/>
      <c r="J20" s="70"/>
      <c r="K20" s="49"/>
      <c r="L20" s="49"/>
      <c r="M20" s="49"/>
      <c r="P20" s="3">
        <f>IF(H9="Yes",(((D24-D19+D20+D21-D22-D23-D18)*D14+(D13+D15+D17))+((J24-J19+J20+J21-J22-J23-J18)*J14+(J13+J15+J17)))/24,0)</f>
        <v>0</v>
      </c>
      <c r="Q20" s="3">
        <f>IF(AND(H9="No",D15&gt;=D16,J15&gt;=J16),(((D24-D19+D20+D21-D22-D23-D18)*D14+(D13+D16+D17))+((J24-J19+J20+J21-J22-J23-J18)*J14+(J13+J16+J17)))/24, 0)</f>
        <v>0</v>
      </c>
    </row>
    <row r="21" spans="1:18" ht="14.25">
      <c r="A21" s="49"/>
      <c r="B21" s="153" t="s">
        <v>199</v>
      </c>
      <c r="C21" s="166"/>
      <c r="D21" s="123"/>
      <c r="E21" s="194" t="s">
        <v>199</v>
      </c>
      <c r="F21" s="194"/>
      <c r="G21" s="70"/>
      <c r="H21" s="194" t="s">
        <v>199</v>
      </c>
      <c r="I21" s="194"/>
      <c r="J21" s="70"/>
      <c r="K21" s="49"/>
      <c r="L21" s="49"/>
      <c r="M21" s="49"/>
    </row>
    <row r="22" spans="1:18" ht="14.25">
      <c r="A22" s="49"/>
      <c r="B22" s="153" t="s">
        <v>201</v>
      </c>
      <c r="C22" s="166"/>
      <c r="D22" s="123"/>
      <c r="E22" s="194" t="s">
        <v>201</v>
      </c>
      <c r="F22" s="194"/>
      <c r="G22" s="70"/>
      <c r="H22" s="194" t="s">
        <v>201</v>
      </c>
      <c r="I22" s="194"/>
      <c r="J22" s="70"/>
      <c r="K22" s="49"/>
      <c r="L22" s="49"/>
      <c r="M22" s="49"/>
      <c r="Q22" t="s">
        <v>53</v>
      </c>
    </row>
    <row r="23" spans="1:18" ht="14.25">
      <c r="A23" s="49"/>
      <c r="B23" s="153" t="s">
        <v>202</v>
      </c>
      <c r="C23" s="166"/>
      <c r="D23" s="123"/>
      <c r="E23" s="194" t="s">
        <v>202</v>
      </c>
      <c r="F23" s="194"/>
      <c r="G23" s="70"/>
      <c r="H23" s="194" t="s">
        <v>202</v>
      </c>
      <c r="I23" s="194"/>
      <c r="J23" s="70"/>
      <c r="K23" s="49"/>
      <c r="L23" s="49"/>
      <c r="M23" s="49"/>
      <c r="Q23" s="3">
        <f>IF(AND(H9="No",D15&lt;D16,J15&lt;J16),(((D24-D19+D20+D21-D22-D23-D18)*D14+(D13+D15+D17))+((J24-J19+J20+J21-J22-J23-J18)*J14+(J13+J15+J17)))/24,0)</f>
        <v>0</v>
      </c>
    </row>
    <row r="24" spans="1:18" ht="14.25">
      <c r="A24" s="49"/>
      <c r="B24" s="153" t="s">
        <v>43</v>
      </c>
      <c r="C24" s="166"/>
      <c r="D24" s="127"/>
      <c r="E24" s="194" t="s">
        <v>43</v>
      </c>
      <c r="F24" s="194"/>
      <c r="G24" s="70"/>
      <c r="H24" s="190" t="s">
        <v>43</v>
      </c>
      <c r="I24" s="190"/>
      <c r="J24" s="70"/>
      <c r="K24" s="49"/>
      <c r="L24" s="49"/>
      <c r="M24" s="49"/>
    </row>
    <row r="25" spans="1:18" ht="14.25">
      <c r="A25" s="49"/>
      <c r="B25" s="187" t="s">
        <v>174</v>
      </c>
      <c r="C25" s="187"/>
      <c r="D25" s="187"/>
      <c r="E25" s="206" t="s">
        <v>174</v>
      </c>
      <c r="F25" s="206"/>
      <c r="G25" s="206"/>
      <c r="H25" s="187" t="s">
        <v>174</v>
      </c>
      <c r="I25" s="187"/>
      <c r="J25" s="187"/>
      <c r="K25" s="49"/>
      <c r="L25" s="49"/>
      <c r="M25" s="49"/>
      <c r="P25" t="s">
        <v>55</v>
      </c>
      <c r="Q25" t="s">
        <v>56</v>
      </c>
    </row>
    <row r="26" spans="1:18" ht="14.25">
      <c r="A26" s="49"/>
      <c r="B26" s="49"/>
      <c r="C26" s="49"/>
      <c r="D26" s="49"/>
      <c r="E26" s="194" t="s">
        <v>7</v>
      </c>
      <c r="F26" s="194"/>
      <c r="G26" s="72">
        <f>P8</f>
        <v>0</v>
      </c>
      <c r="H26" s="49"/>
      <c r="I26" s="49"/>
      <c r="J26" s="49"/>
      <c r="K26" s="49"/>
      <c r="L26" s="49"/>
      <c r="M26" s="49"/>
      <c r="P26" s="3">
        <f>IF(H9="Yes",(((D24-D19+D20+D21-D22-D23-D18)*D14+(D13+D15+D17)))/12,0)</f>
        <v>0</v>
      </c>
      <c r="Q26" s="3">
        <f>IF(H9="Yes",((J24-J19+J20+J21-J22-J23-J18)*J14+(J13+J15+J17))/12,0)</f>
        <v>0</v>
      </c>
    </row>
    <row r="27" spans="1:18" ht="14.25">
      <c r="A27" s="49"/>
      <c r="B27" s="49"/>
      <c r="C27" s="49"/>
      <c r="D27" s="49"/>
      <c r="E27" s="194" t="s">
        <v>7</v>
      </c>
      <c r="F27" s="194"/>
      <c r="G27" s="73">
        <f>IF(AND(H9="No",G15&gt;=G16),Q14,IF(AND(H9="No",G15&lt;G16),Q17,IF(H9="Yes",P14,0)))</f>
        <v>0</v>
      </c>
      <c r="H27" s="49"/>
      <c r="I27" s="49"/>
      <c r="J27" s="49"/>
      <c r="K27" s="49"/>
      <c r="L27" s="49"/>
      <c r="M27" s="49"/>
    </row>
    <row r="28" spans="1:18" ht="14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P28" t="s">
        <v>148</v>
      </c>
      <c r="Q28" t="s">
        <v>150</v>
      </c>
      <c r="R28" t="s">
        <v>152</v>
      </c>
    </row>
    <row r="29" spans="1:18" ht="14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P29" s="3">
        <f>IF(AND(H9="No",(D15&lt;D16)),((D24-D19+D20+D21-D22-D23-D18)*D14+(D13+D15+D17))/12,0)</f>
        <v>0</v>
      </c>
      <c r="Q29" s="3">
        <f>IF(AND(H9="No",(J15&lt;J16)),((J24-J19+J20+J21-J22-J23-J18)*J14+(J13+J15+J17))/12,0)</f>
        <v>0</v>
      </c>
      <c r="R29" s="3">
        <f>(P29+Q31)/2</f>
        <v>0</v>
      </c>
    </row>
    <row r="30" spans="1:18" ht="14.25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49"/>
      <c r="M30" s="49"/>
      <c r="P30" t="s">
        <v>149</v>
      </c>
      <c r="Q30" t="s">
        <v>151</v>
      </c>
      <c r="R30" t="s">
        <v>153</v>
      </c>
    </row>
    <row r="31" spans="1:18" ht="14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P31" s="3">
        <f>IF(AND(H9="No",(D15&gt;=D16)),((D24-D19+D20+D21-D22-D23-D18)*D14+(D13+D16+D17))/12,0)</f>
        <v>0</v>
      </c>
      <c r="Q31" s="3">
        <f>IF(AND(H9="No",(J15&gt;J16)),((J24-J19+J20+J21-J22-J23-J18)*J14+(J13+J16+J17))/12,0)</f>
        <v>0</v>
      </c>
      <c r="R31" s="3">
        <f>(P31+Q29)/2</f>
        <v>0</v>
      </c>
    </row>
    <row r="32" spans="1:18" ht="14.25" hidden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3" spans="1:13" ht="14.25" hidden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1:13" ht="14.25" hidden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1:13" ht="14.25" hidden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</row>
    <row r="36" spans="1:13" ht="14.25" hidden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 ht="14.25" hidden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ht="14.25" hidden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</row>
    <row r="39" spans="1:13" ht="14.25" hidden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</row>
    <row r="40" spans="1:13" ht="14.25" hidden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13" ht="14.25" hidden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</row>
    <row r="42" spans="1:13" ht="14.25" hidden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13" ht="14.25" hidden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</row>
    <row r="44" spans="1:13" ht="14.25" hidden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</row>
    <row r="45" spans="1:13" ht="14.25" hidden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</row>
    <row r="46" spans="1:13" ht="14.25" hidden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</row>
    <row r="47" spans="1:13" ht="14.25" hidden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ht="14.25" hidden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</row>
    <row r="49" spans="1:13" ht="14.25" hidden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</row>
    <row r="50" spans="1:13" ht="14.25" hidden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</row>
    <row r="51" spans="1:13" ht="14.25" hidden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</row>
    <row r="52" spans="1:13" ht="14.25" hidden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</row>
    <row r="53" spans="1:13" ht="14.25" hidden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3" ht="14.25" hidden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</row>
    <row r="55" spans="1:13" ht="14.25" hidden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</row>
    <row r="56" spans="1:13" ht="14.25" hidden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</row>
    <row r="57" spans="1:13" ht="14.25" hidden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</sheetData>
  <sheetProtection algorithmName="SHA-512" hashValue="gnML+h6ZVEv31TEVpnh0K4zeFKJxrbgfmjCd6QSZgkk6nJT4nTf1unsDsnUjbjIMkGB4I0utcCM66ach+7i6JA==" saltValue="6gl0TvC8lEzJ7e+yD8V0lA==" spinCount="100000" sheet="1" selectLockedCells="1"/>
  <mergeCells count="57">
    <mergeCell ref="B25:D25"/>
    <mergeCell ref="H25:J25"/>
    <mergeCell ref="B21:C21"/>
    <mergeCell ref="E21:F21"/>
    <mergeCell ref="H21:I21"/>
    <mergeCell ref="A30:K30"/>
    <mergeCell ref="B22:C22"/>
    <mergeCell ref="E22:F22"/>
    <mergeCell ref="H22:I22"/>
    <mergeCell ref="B23:C23"/>
    <mergeCell ref="E23:F23"/>
    <mergeCell ref="H23:I23"/>
    <mergeCell ref="B24:C24"/>
    <mergeCell ref="E24:F24"/>
    <mergeCell ref="H24:I24"/>
    <mergeCell ref="E26:F26"/>
    <mergeCell ref="E27:F27"/>
    <mergeCell ref="E25:G25"/>
    <mergeCell ref="B19:C19"/>
    <mergeCell ref="E19:F19"/>
    <mergeCell ref="H19:I19"/>
    <mergeCell ref="B20:C20"/>
    <mergeCell ref="E20:F20"/>
    <mergeCell ref="H20:I20"/>
    <mergeCell ref="B17:C17"/>
    <mergeCell ref="E17:F17"/>
    <mergeCell ref="H17:I17"/>
    <mergeCell ref="B18:C18"/>
    <mergeCell ref="E18:F18"/>
    <mergeCell ref="H18:I18"/>
    <mergeCell ref="B15:C15"/>
    <mergeCell ref="E15:F15"/>
    <mergeCell ref="H15:I15"/>
    <mergeCell ref="B16:C16"/>
    <mergeCell ref="E16:F16"/>
    <mergeCell ref="H16:I16"/>
    <mergeCell ref="D11:G11"/>
    <mergeCell ref="H11:I11"/>
    <mergeCell ref="B14:C14"/>
    <mergeCell ref="E14:F14"/>
    <mergeCell ref="H14:I14"/>
    <mergeCell ref="B13:C13"/>
    <mergeCell ref="E13:F13"/>
    <mergeCell ref="H13:I13"/>
    <mergeCell ref="A1:M4"/>
    <mergeCell ref="A5:M5"/>
    <mergeCell ref="D7:F7"/>
    <mergeCell ref="G7:I7"/>
    <mergeCell ref="D8:G8"/>
    <mergeCell ref="H8:I8"/>
    <mergeCell ref="D9:G9"/>
    <mergeCell ref="H9:I9"/>
    <mergeCell ref="B12:D12"/>
    <mergeCell ref="E12:G12"/>
    <mergeCell ref="H12:J12"/>
    <mergeCell ref="D10:G10"/>
    <mergeCell ref="H10:I10"/>
  </mergeCells>
  <conditionalFormatting sqref="B13:D13">
    <cfRule type="expression" dxfId="668" priority="177">
      <formula>OR(H8="Select Option",H8="One")</formula>
    </cfRule>
  </conditionalFormatting>
  <conditionalFormatting sqref="B14:D14">
    <cfRule type="expression" dxfId="667" priority="176">
      <formula>OR(H8="Select Option",H8="One")</formula>
    </cfRule>
  </conditionalFormatting>
  <conditionalFormatting sqref="D14">
    <cfRule type="expression" dxfId="666" priority="73">
      <formula>H8="Two"</formula>
    </cfRule>
    <cfRule type="expression" dxfId="665" priority="175">
      <formula>OR(H8="Select Option",H8="One")</formula>
    </cfRule>
  </conditionalFormatting>
  <conditionalFormatting sqref="B15:C15">
    <cfRule type="expression" dxfId="664" priority="174">
      <formula>OR(H8="Select Option",H8="One")</formula>
    </cfRule>
  </conditionalFormatting>
  <conditionalFormatting sqref="D15">
    <cfRule type="expression" dxfId="663" priority="72">
      <formula>H8="Two"</formula>
    </cfRule>
    <cfRule type="expression" dxfId="662" priority="173">
      <formula>OR(H8="Select Option",H8="One")</formula>
    </cfRule>
  </conditionalFormatting>
  <conditionalFormatting sqref="B16:C16">
    <cfRule type="expression" dxfId="661" priority="172">
      <formula>OR(H8="Select Option",H8="One")</formula>
    </cfRule>
  </conditionalFormatting>
  <conditionalFormatting sqref="D16">
    <cfRule type="expression" dxfId="660" priority="71">
      <formula>H8="Two"</formula>
    </cfRule>
    <cfRule type="expression" dxfId="659" priority="171">
      <formula>OR(H8="Select Option",H8="One")</formula>
    </cfRule>
  </conditionalFormatting>
  <conditionalFormatting sqref="B17:C17">
    <cfRule type="expression" dxfId="658" priority="170">
      <formula>OR(H8="Select Option",H8="One")</formula>
    </cfRule>
  </conditionalFormatting>
  <conditionalFormatting sqref="D17">
    <cfRule type="expression" dxfId="657" priority="70">
      <formula>H8="Two"</formula>
    </cfRule>
    <cfRule type="expression" dxfId="656" priority="169">
      <formula>OR(H8="Select Option",H8="One")</formula>
    </cfRule>
  </conditionalFormatting>
  <conditionalFormatting sqref="B18:C18">
    <cfRule type="expression" dxfId="655" priority="168">
      <formula>OR(H8="Select Option",H8="One")</formula>
    </cfRule>
  </conditionalFormatting>
  <conditionalFormatting sqref="D18">
    <cfRule type="expression" dxfId="654" priority="69">
      <formula>H8="Two"</formula>
    </cfRule>
    <cfRule type="expression" dxfId="653" priority="167">
      <formula>OR(H8="Select Option",H8="One")</formula>
    </cfRule>
  </conditionalFormatting>
  <conditionalFormatting sqref="B19:C19">
    <cfRule type="expression" dxfId="652" priority="166">
      <formula>OR(H8="Select Option",H8="One")</formula>
    </cfRule>
  </conditionalFormatting>
  <conditionalFormatting sqref="D19">
    <cfRule type="expression" dxfId="651" priority="68">
      <formula>H8="Two"</formula>
    </cfRule>
    <cfRule type="expression" dxfId="650" priority="165">
      <formula>OR(H8="Select Option",H8="One")</formula>
    </cfRule>
  </conditionalFormatting>
  <conditionalFormatting sqref="B20:C20">
    <cfRule type="expression" dxfId="649" priority="164">
      <formula>OR(H8="Select Option",H8="One")</formula>
    </cfRule>
  </conditionalFormatting>
  <conditionalFormatting sqref="D20">
    <cfRule type="expression" dxfId="648" priority="67">
      <formula>H8="Two"</formula>
    </cfRule>
    <cfRule type="expression" dxfId="647" priority="163">
      <formula>OR(H8="Select Option",H8="One")</formula>
    </cfRule>
  </conditionalFormatting>
  <conditionalFormatting sqref="B21:C21">
    <cfRule type="expression" dxfId="646" priority="162">
      <formula>OR(H8="Select Option",H8="One")</formula>
    </cfRule>
  </conditionalFormatting>
  <conditionalFormatting sqref="D21">
    <cfRule type="expression" dxfId="645" priority="66">
      <formula>H8="Two"</formula>
    </cfRule>
    <cfRule type="expression" dxfId="644" priority="161">
      <formula>OR(H8="Select Option",H8="One")</formula>
    </cfRule>
  </conditionalFormatting>
  <conditionalFormatting sqref="B22:C22">
    <cfRule type="expression" dxfId="643" priority="160">
      <formula>OR(H8="Select Option",H8="One")</formula>
    </cfRule>
  </conditionalFormatting>
  <conditionalFormatting sqref="D22">
    <cfRule type="expression" dxfId="642" priority="65">
      <formula>H8="Two"</formula>
    </cfRule>
    <cfRule type="expression" dxfId="641" priority="159">
      <formula>OR(H8="Select Option",H8="One")</formula>
    </cfRule>
  </conditionalFormatting>
  <conditionalFormatting sqref="B23:C23">
    <cfRule type="expression" dxfId="640" priority="158">
      <formula>OR(H8="Select Option",H8="One")</formula>
    </cfRule>
  </conditionalFormatting>
  <conditionalFormatting sqref="D23">
    <cfRule type="expression" dxfId="639" priority="64">
      <formula>H8="Two"</formula>
    </cfRule>
    <cfRule type="expression" dxfId="638" priority="157">
      <formula>OR(H8="Select Option",H8="One")</formula>
    </cfRule>
  </conditionalFormatting>
  <conditionalFormatting sqref="B24:C24">
    <cfRule type="expression" dxfId="637" priority="156">
      <formula>OR(H8="Select Option",H8="One")</formula>
    </cfRule>
  </conditionalFormatting>
  <conditionalFormatting sqref="D24">
    <cfRule type="expression" dxfId="636" priority="63">
      <formula>H8="Two"</formula>
    </cfRule>
    <cfRule type="expression" dxfId="635" priority="155">
      <formula>OR(H8="Select Option",H8="One")</formula>
    </cfRule>
  </conditionalFormatting>
  <conditionalFormatting sqref="H13:I13">
    <cfRule type="expression" dxfId="634" priority="50">
      <formula>H8="Two"</formula>
    </cfRule>
    <cfRule type="expression" dxfId="633" priority="153">
      <formula>OR(H8="Select Option",H8="One")</formula>
    </cfRule>
  </conditionalFormatting>
  <conditionalFormatting sqref="J13">
    <cfRule type="expression" dxfId="632" priority="62">
      <formula>H8="Two"</formula>
    </cfRule>
    <cfRule type="expression" dxfId="631" priority="152">
      <formula>OR(H8="Select Option",H8="One")</formula>
    </cfRule>
  </conditionalFormatting>
  <conditionalFormatting sqref="H14:I14">
    <cfRule type="expression" dxfId="630" priority="49">
      <formula>H8="Two"</formula>
    </cfRule>
    <cfRule type="expression" dxfId="629" priority="151">
      <formula>OR(H8="Select Option",H8="One")</formula>
    </cfRule>
  </conditionalFormatting>
  <conditionalFormatting sqref="J14">
    <cfRule type="expression" dxfId="628" priority="61">
      <formula>H8="Two"</formula>
    </cfRule>
    <cfRule type="expression" dxfId="627" priority="150">
      <formula>OR(H8="Select Option",H8="One")</formula>
    </cfRule>
  </conditionalFormatting>
  <conditionalFormatting sqref="H15:I15">
    <cfRule type="expression" dxfId="626" priority="48">
      <formula>H8="Two"</formula>
    </cfRule>
    <cfRule type="expression" dxfId="625" priority="149">
      <formula>OR(H8="Select Option",H8="One")</formula>
    </cfRule>
  </conditionalFormatting>
  <conditionalFormatting sqref="J15">
    <cfRule type="expression" dxfId="624" priority="60">
      <formula>H8="Two"</formula>
    </cfRule>
    <cfRule type="expression" dxfId="623" priority="148">
      <formula>OR(H8="Select Option",H8="One")</formula>
    </cfRule>
  </conditionalFormatting>
  <conditionalFormatting sqref="H16:I16">
    <cfRule type="expression" dxfId="622" priority="47">
      <formula>H8="Two"</formula>
    </cfRule>
    <cfRule type="expression" dxfId="621" priority="147">
      <formula>OR(H8="Select Option",H8="One")</formula>
    </cfRule>
  </conditionalFormatting>
  <conditionalFormatting sqref="J16">
    <cfRule type="expression" dxfId="620" priority="59">
      <formula>H8="Two"</formula>
    </cfRule>
    <cfRule type="expression" dxfId="619" priority="146">
      <formula>OR(H8="Select Option",H8="One")</formula>
    </cfRule>
  </conditionalFormatting>
  <conditionalFormatting sqref="H17:I17">
    <cfRule type="expression" dxfId="618" priority="46">
      <formula>H8="Two"</formula>
    </cfRule>
    <cfRule type="expression" dxfId="617" priority="145">
      <formula>OR(H8="Select Option",H8="One")</formula>
    </cfRule>
  </conditionalFormatting>
  <conditionalFormatting sqref="J17">
    <cfRule type="expression" dxfId="616" priority="58">
      <formula>H8="Two"</formula>
    </cfRule>
    <cfRule type="expression" dxfId="615" priority="144">
      <formula>OR(H8="Select Option",H8="One")</formula>
    </cfRule>
  </conditionalFormatting>
  <conditionalFormatting sqref="H18:I18">
    <cfRule type="expression" dxfId="614" priority="45">
      <formula>H8="Two"</formula>
    </cfRule>
    <cfRule type="expression" dxfId="613" priority="143">
      <formula>OR(H8="Select Option",H8="One")</formula>
    </cfRule>
  </conditionalFormatting>
  <conditionalFormatting sqref="J18">
    <cfRule type="expression" dxfId="612" priority="57">
      <formula>H8="Two"</formula>
    </cfRule>
    <cfRule type="expression" dxfId="611" priority="142">
      <formula>OR(H8="Select Option",H8="One")</formula>
    </cfRule>
  </conditionalFormatting>
  <conditionalFormatting sqref="H19:I19">
    <cfRule type="expression" dxfId="610" priority="44">
      <formula>H8="Two"</formula>
    </cfRule>
    <cfRule type="expression" dxfId="609" priority="141">
      <formula>OR(H8="Select Option",H8="One")</formula>
    </cfRule>
  </conditionalFormatting>
  <conditionalFormatting sqref="J19">
    <cfRule type="expression" dxfId="608" priority="56">
      <formula>H8="Two"</formula>
    </cfRule>
    <cfRule type="expression" dxfId="607" priority="140">
      <formula>OR(H8="Select Option",H8="One")</formula>
    </cfRule>
  </conditionalFormatting>
  <conditionalFormatting sqref="H20:I20">
    <cfRule type="expression" dxfId="606" priority="43">
      <formula>H8="Two"</formula>
    </cfRule>
    <cfRule type="expression" dxfId="605" priority="139">
      <formula>OR(H8="Select Option",H8="One")</formula>
    </cfRule>
  </conditionalFormatting>
  <conditionalFormatting sqref="J20">
    <cfRule type="expression" dxfId="604" priority="55">
      <formula>H8="Two"</formula>
    </cfRule>
    <cfRule type="expression" dxfId="603" priority="138">
      <formula>OR(H8="Select Option",H8="One")</formula>
    </cfRule>
  </conditionalFormatting>
  <conditionalFormatting sqref="H21:I21">
    <cfRule type="expression" dxfId="602" priority="42">
      <formula>H8="Two"</formula>
    </cfRule>
    <cfRule type="expression" dxfId="601" priority="137">
      <formula>OR(H8="Select Option",H8="One")</formula>
    </cfRule>
  </conditionalFormatting>
  <conditionalFormatting sqref="J21">
    <cfRule type="expression" dxfId="600" priority="54">
      <formula>H8="Two"</formula>
    </cfRule>
    <cfRule type="expression" dxfId="599" priority="136">
      <formula>OR(H8="Select Option",H8="One")</formula>
    </cfRule>
  </conditionalFormatting>
  <conditionalFormatting sqref="H22:I22">
    <cfRule type="expression" dxfId="598" priority="41">
      <formula>H8="Two"</formula>
    </cfRule>
    <cfRule type="expression" dxfId="597" priority="135">
      <formula>OR(H8="Select Option",H8="One")</formula>
    </cfRule>
  </conditionalFormatting>
  <conditionalFormatting sqref="J22">
    <cfRule type="expression" dxfId="596" priority="53">
      <formula>H8="Two"</formula>
    </cfRule>
    <cfRule type="expression" dxfId="595" priority="134">
      <formula>OR(H8="Select Option",H8="One")</formula>
    </cfRule>
  </conditionalFormatting>
  <conditionalFormatting sqref="H23:I23">
    <cfRule type="expression" dxfId="594" priority="40">
      <formula>H8="Two"</formula>
    </cfRule>
    <cfRule type="expression" dxfId="593" priority="133">
      <formula>OR(H8="Select Option",H8="One")</formula>
    </cfRule>
  </conditionalFormatting>
  <conditionalFormatting sqref="J23">
    <cfRule type="expression" dxfId="592" priority="52">
      <formula>H8="Two"</formula>
    </cfRule>
    <cfRule type="expression" dxfId="591" priority="132">
      <formula>OR(H8="Select Option",H8="One")</formula>
    </cfRule>
  </conditionalFormatting>
  <conditionalFormatting sqref="H24:I24">
    <cfRule type="expression" dxfId="590" priority="39">
      <formula>H8="Two"</formula>
    </cfRule>
    <cfRule type="expression" dxfId="589" priority="131">
      <formula>OR(H8="Select Option",H8="One")</formula>
    </cfRule>
  </conditionalFormatting>
  <conditionalFormatting sqref="J24">
    <cfRule type="expression" dxfId="588" priority="51">
      <formula>H8="Two"</formula>
    </cfRule>
    <cfRule type="expression" dxfId="587" priority="130">
      <formula>OR(H8="Select Option",H8="One")</formula>
    </cfRule>
  </conditionalFormatting>
  <conditionalFormatting sqref="E26:F26">
    <cfRule type="expression" dxfId="586" priority="38">
      <formula>H8="Two"</formula>
    </cfRule>
    <cfRule type="expression" dxfId="585" priority="129">
      <formula>OR(H8="Select Option",H8="One")</formula>
    </cfRule>
  </conditionalFormatting>
  <conditionalFormatting sqref="G26">
    <cfRule type="expression" dxfId="584" priority="37">
      <formula>H8="Two"</formula>
    </cfRule>
    <cfRule type="expression" dxfId="583" priority="128">
      <formula>OR(H8="Select Option",H8="One")</formula>
    </cfRule>
  </conditionalFormatting>
  <conditionalFormatting sqref="E13:F13">
    <cfRule type="expression" dxfId="582" priority="126">
      <formula>OR(H8="Select Option",H8="Two")</formula>
    </cfRule>
  </conditionalFormatting>
  <conditionalFormatting sqref="G13">
    <cfRule type="expression" dxfId="581" priority="99">
      <formula>H8="One"</formula>
    </cfRule>
    <cfRule type="expression" dxfId="580" priority="125">
      <formula>OR(H8="Select Option",H8="Two")</formula>
    </cfRule>
  </conditionalFormatting>
  <conditionalFormatting sqref="E14:F14">
    <cfRule type="expression" dxfId="579" priority="100">
      <formula>H8="One"</formula>
    </cfRule>
    <cfRule type="expression" dxfId="578" priority="124">
      <formula>OR(H8="Select Option",H8="Two")</formula>
    </cfRule>
  </conditionalFormatting>
  <conditionalFormatting sqref="G14">
    <cfRule type="expression" dxfId="577" priority="97">
      <formula>H8="One"</formula>
    </cfRule>
    <cfRule type="expression" dxfId="576" priority="123">
      <formula>OR(H8="Select Option",H8="Two")</formula>
    </cfRule>
  </conditionalFormatting>
  <conditionalFormatting sqref="E15:F15">
    <cfRule type="expression" dxfId="575" priority="86">
      <formula>H8="One"</formula>
    </cfRule>
    <cfRule type="expression" dxfId="574" priority="122">
      <formula>OR(H8="Select Option",H8="Two")</formula>
    </cfRule>
  </conditionalFormatting>
  <conditionalFormatting sqref="G15">
    <cfRule type="expression" dxfId="573" priority="98">
      <formula>H8="One"</formula>
    </cfRule>
    <cfRule type="expression" dxfId="572" priority="121">
      <formula>OR(H8="Select Option",H8="Two")</formula>
    </cfRule>
  </conditionalFormatting>
  <conditionalFormatting sqref="E16:F16">
    <cfRule type="expression" dxfId="571" priority="85">
      <formula>H8="One"</formula>
    </cfRule>
    <cfRule type="expression" dxfId="570" priority="120">
      <formula>OR(H8="Select Option",H8="Two")</formula>
    </cfRule>
  </conditionalFormatting>
  <conditionalFormatting sqref="G16">
    <cfRule type="expression" dxfId="569" priority="96">
      <formula>H8="One"</formula>
    </cfRule>
    <cfRule type="expression" dxfId="568" priority="119">
      <formula>OR(H8="Select Option",H8="Two")</formula>
    </cfRule>
  </conditionalFormatting>
  <conditionalFormatting sqref="E17:F17">
    <cfRule type="expression" dxfId="567" priority="84">
      <formula>H8="One"</formula>
    </cfRule>
    <cfRule type="expression" dxfId="566" priority="118">
      <formula>OR(H8="Select Option",H8="Two")</formula>
    </cfRule>
  </conditionalFormatting>
  <conditionalFormatting sqref="G17">
    <cfRule type="expression" dxfId="565" priority="95">
      <formula>H8="One"</formula>
    </cfRule>
    <cfRule type="expression" dxfId="564" priority="117">
      <formula>OR(H8="Select Option",H8="Two")</formula>
    </cfRule>
  </conditionalFormatting>
  <conditionalFormatting sqref="E18:F18">
    <cfRule type="expression" dxfId="563" priority="83">
      <formula>H8="One"</formula>
    </cfRule>
    <cfRule type="expression" dxfId="562" priority="116">
      <formula>OR(H8="Select Option",H8="Two")</formula>
    </cfRule>
  </conditionalFormatting>
  <conditionalFormatting sqref="G18">
    <cfRule type="expression" dxfId="561" priority="94">
      <formula>H8="One"</formula>
    </cfRule>
    <cfRule type="expression" dxfId="560" priority="115">
      <formula>OR(H8="Select Option",H8="Two")</formula>
    </cfRule>
  </conditionalFormatting>
  <conditionalFormatting sqref="E19:F19">
    <cfRule type="expression" dxfId="559" priority="82">
      <formula>H8="One"</formula>
    </cfRule>
    <cfRule type="expression" dxfId="558" priority="114">
      <formula>OR(H8="Select Option",H8="Two")</formula>
    </cfRule>
  </conditionalFormatting>
  <conditionalFormatting sqref="G19">
    <cfRule type="expression" dxfId="557" priority="93">
      <formula>H8="One"</formula>
    </cfRule>
    <cfRule type="expression" dxfId="556" priority="113">
      <formula>OR(H8="Select Option",H8="Two")</formula>
    </cfRule>
  </conditionalFormatting>
  <conditionalFormatting sqref="E20:F20">
    <cfRule type="expression" dxfId="555" priority="81">
      <formula>H8="One"</formula>
    </cfRule>
    <cfRule type="expression" dxfId="554" priority="112">
      <formula>OR(H8="Select Option",H8="Two")</formula>
    </cfRule>
  </conditionalFormatting>
  <conditionalFormatting sqref="G20">
    <cfRule type="expression" dxfId="553" priority="92">
      <formula>H8="One"</formula>
    </cfRule>
    <cfRule type="expression" dxfId="552" priority="111">
      <formula>OR(H8="Select Option",H8="Two")</formula>
    </cfRule>
  </conditionalFormatting>
  <conditionalFormatting sqref="E21:F21">
    <cfRule type="expression" dxfId="551" priority="80">
      <formula>H8="One"</formula>
    </cfRule>
    <cfRule type="expression" dxfId="550" priority="110">
      <formula>OR(H8="Select Option",H8="Two")</formula>
    </cfRule>
  </conditionalFormatting>
  <conditionalFormatting sqref="G21">
    <cfRule type="expression" dxfId="549" priority="91">
      <formula>H8="One"</formula>
    </cfRule>
    <cfRule type="expression" dxfId="548" priority="109">
      <formula>OR(H8="Select Option",H8="Two")</formula>
    </cfRule>
  </conditionalFormatting>
  <conditionalFormatting sqref="E22:F22">
    <cfRule type="expression" dxfId="547" priority="79">
      <formula>H8="One"</formula>
    </cfRule>
    <cfRule type="expression" dxfId="546" priority="108">
      <formula>OR(H8="Select Option",H8="Two")</formula>
    </cfRule>
  </conditionalFormatting>
  <conditionalFormatting sqref="G22">
    <cfRule type="expression" dxfId="545" priority="90">
      <formula>H8="One"</formula>
    </cfRule>
    <cfRule type="expression" dxfId="544" priority="107">
      <formula>OR(H8="Select Option",H8="Two")</formula>
    </cfRule>
  </conditionalFormatting>
  <conditionalFormatting sqref="E23:F23">
    <cfRule type="expression" dxfId="543" priority="78">
      <formula>H8="One"</formula>
    </cfRule>
    <cfRule type="expression" dxfId="542" priority="106">
      <formula>OR(H8="Select Option",H8="Two")</formula>
    </cfRule>
  </conditionalFormatting>
  <conditionalFormatting sqref="G23">
    <cfRule type="expression" dxfId="541" priority="89">
      <formula>H8="One"</formula>
    </cfRule>
    <cfRule type="expression" dxfId="540" priority="105">
      <formula>OR(H8="Select Option",H8="Two")</formula>
    </cfRule>
  </conditionalFormatting>
  <conditionalFormatting sqref="E24:F24">
    <cfRule type="expression" dxfId="539" priority="77">
      <formula>H8="One"</formula>
    </cfRule>
    <cfRule type="expression" dxfId="538" priority="104">
      <formula>OR(H8="Select Option",H8="Two")</formula>
    </cfRule>
  </conditionalFormatting>
  <conditionalFormatting sqref="G24">
    <cfRule type="expression" dxfId="537" priority="88">
      <formula>H8="One"</formula>
    </cfRule>
    <cfRule type="expression" dxfId="536" priority="103">
      <formula>OR(H8="Select Option",H8="Two")</formula>
    </cfRule>
  </conditionalFormatting>
  <conditionalFormatting sqref="E27:F27">
    <cfRule type="expression" dxfId="535" priority="76">
      <formula>H8="One"</formula>
    </cfRule>
    <cfRule type="expression" dxfId="534" priority="102">
      <formula>OR(H8="Select Option",H8="Two")</formula>
    </cfRule>
  </conditionalFormatting>
  <conditionalFormatting sqref="G27">
    <cfRule type="expression" dxfId="533" priority="87">
      <formula>H8="One"</formula>
    </cfRule>
    <cfRule type="expression" dxfId="532" priority="101">
      <formula>OR(H8="Select Option",H8="Two")</formula>
    </cfRule>
  </conditionalFormatting>
  <conditionalFormatting sqref="D13">
    <cfRule type="expression" dxfId="531" priority="74">
      <formula>H8="Two"</formula>
    </cfRule>
  </conditionalFormatting>
  <conditionalFormatting sqref="E25:G25">
    <cfRule type="expression" dxfId="530" priority="35">
      <formula>G14=""</formula>
    </cfRule>
    <cfRule type="expression" dxfId="529" priority="36">
      <formula>G14&lt;25%</formula>
    </cfRule>
  </conditionalFormatting>
  <conditionalFormatting sqref="B25:D25">
    <cfRule type="expression" dxfId="528" priority="33">
      <formula>D14=""</formula>
    </cfRule>
    <cfRule type="expression" dxfId="527" priority="34">
      <formula>D14&lt;25%</formula>
    </cfRule>
  </conditionalFormatting>
  <conditionalFormatting sqref="H25:J25">
    <cfRule type="expression" dxfId="526" priority="31">
      <formula>J14=""</formula>
    </cfRule>
    <cfRule type="expression" dxfId="525" priority="32">
      <formula>J14&lt;25%</formula>
    </cfRule>
  </conditionalFormatting>
  <conditionalFormatting sqref="D10:G10">
    <cfRule type="expression" dxfId="524" priority="30">
      <formula>$U$9="Yes"</formula>
    </cfRule>
  </conditionalFormatting>
  <conditionalFormatting sqref="H10">
    <cfRule type="expression" dxfId="523" priority="28">
      <formula>$U$9="Yes"</formula>
    </cfRule>
  </conditionalFormatting>
  <conditionalFormatting sqref="B12:D12">
    <cfRule type="expression" dxfId="522" priority="17">
      <formula>H8="Two"</formula>
    </cfRule>
    <cfRule type="expression" dxfId="521" priority="18">
      <formula>OR(H8="Select Option",H8="One")</formula>
    </cfRule>
  </conditionalFormatting>
  <conditionalFormatting sqref="E12:G12">
    <cfRule type="expression" dxfId="520" priority="11">
      <formula>$H$8="Select Option"</formula>
    </cfRule>
    <cfRule type="expression" dxfId="519" priority="12">
      <formula>AND($H$8="Two",$H$10="Select Option")</formula>
    </cfRule>
    <cfRule type="expression" dxfId="518" priority="13">
      <formula>AND($U$9="Yes",$H$8="Two")</formula>
    </cfRule>
    <cfRule type="expression" dxfId="517" priority="14">
      <formula>AND($H$8="Two",$H$10="Yes")</formula>
    </cfRule>
    <cfRule type="expression" dxfId="516" priority="15">
      <formula>AND($U$2="No",$U$9="No",$H$8="Two")</formula>
    </cfRule>
    <cfRule type="expression" dxfId="515" priority="16">
      <formula>OR(H8="Select Option",H8="Two")</formula>
    </cfRule>
  </conditionalFormatting>
  <conditionalFormatting sqref="H12:J12">
    <cfRule type="expression" dxfId="514" priority="10">
      <formula>OR(H8="Select Option",H8="One")</formula>
    </cfRule>
  </conditionalFormatting>
  <conditionalFormatting sqref="D11:G11">
    <cfRule type="expression" dxfId="513" priority="5">
      <formula>$U$9="Yes"</formula>
    </cfRule>
    <cfRule type="expression" dxfId="512" priority="6">
      <formula>$H$8="Select Option"</formula>
    </cfRule>
    <cfRule type="expression" dxfId="511" priority="7">
      <formula>$H$10="Yes"</formula>
    </cfRule>
    <cfRule type="expression" dxfId="510" priority="8">
      <formula>AND($U$2="No",$U$9="No")</formula>
    </cfRule>
    <cfRule type="expression" dxfId="509" priority="9">
      <formula>$H$10="Select Option"</formula>
    </cfRule>
  </conditionalFormatting>
  <conditionalFormatting sqref="H11">
    <cfRule type="expression" dxfId="508" priority="1">
      <formula>$U$9="Yes"</formula>
    </cfRule>
    <cfRule type="expression" dxfId="507" priority="2">
      <formula>$H$10="Yes"</formula>
    </cfRule>
    <cfRule type="expression" dxfId="506" priority="3">
      <formula>AND($U$2="No",$U$9="No")</formula>
    </cfRule>
    <cfRule type="expression" dxfId="505" priority="4">
      <formula>$H$10="Select Option"</formula>
    </cfRule>
  </conditionalFormatting>
  <dataValidations count="1">
    <dataValidation type="list" allowBlank="1" showInputMessage="1" showErrorMessage="1" sqref="H10:I11" xr:uid="{447BF8CA-4436-4D97-A49B-B50BCAA089CE}">
      <formula1>"Select Option, Yes, No"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Button 1">
              <controlPr locked="0" defaultSize="0" print="0" autoFill="0" autoPict="0" macro="[0]!PartnershipSCorp_Click">
                <anchor moveWithCells="1" sizeWithCells="1">
                  <from>
                    <xdr:col>9</xdr:col>
                    <xdr:colOff>704850</xdr:colOff>
                    <xdr:row>6</xdr:row>
                    <xdr:rowOff>180975</xdr:rowOff>
                  </from>
                  <to>
                    <xdr:col>10</xdr:col>
                    <xdr:colOff>619125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2795A7-FD6B-4CC4-B812-D11FD4CA65C4}">
          <x14:formula1>
            <xm:f>Lists!$E$11:$E$13</xm:f>
          </x14:formula1>
          <xm:sqref>H9:I9</xm:sqref>
        </x14:dataValidation>
        <x14:dataValidation type="list" allowBlank="1" showInputMessage="1" showErrorMessage="1" xr:uid="{9E704CDE-7AF2-4B0A-85E5-0600CEA13FCD}">
          <x14:formula1>
            <xm:f>Lists!$C$11:$C$13</xm:f>
          </x14:formula1>
          <xm:sqref>H8:I8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Table of Contents</vt:lpstr>
      <vt:lpstr>Full Time Hourly</vt:lpstr>
      <vt:lpstr>Full Time Semi-Monthly</vt:lpstr>
      <vt:lpstr>Full Time Bi-Weekly</vt:lpstr>
      <vt:lpstr>Full Time Monthly</vt:lpstr>
      <vt:lpstr>Full Time Annual Salary</vt:lpstr>
      <vt:lpstr>Self Employed Sch C</vt:lpstr>
      <vt:lpstr>Partnership 1065</vt:lpstr>
      <vt:lpstr>S Corp 1120S</vt:lpstr>
      <vt:lpstr>S Corp 1120S1</vt:lpstr>
      <vt:lpstr>Corporation 1120</vt:lpstr>
      <vt:lpstr>Alimony</vt:lpstr>
      <vt:lpstr>Boarder Income</vt:lpstr>
      <vt:lpstr>Capital Gains</vt:lpstr>
      <vt:lpstr>Vehicle Allowance</vt:lpstr>
      <vt:lpstr>Child Support</vt:lpstr>
      <vt:lpstr>Dividends &amp; Interest</vt:lpstr>
      <vt:lpstr>Foster Care </vt:lpstr>
      <vt:lpstr>IRA Distributions</vt:lpstr>
      <vt:lpstr>Notes Receivable</vt:lpstr>
      <vt:lpstr>Pension</vt:lpstr>
      <vt:lpstr>REO Rental</vt:lpstr>
      <vt:lpstr>Royalty</vt:lpstr>
      <vt:lpstr>Social Security</vt:lpstr>
      <vt:lpstr>Trust </vt:lpstr>
      <vt:lpstr>Income Calculator</vt:lpstr>
      <vt:lpstr>Summary</vt:lpstr>
      <vt:lpstr>Lists (2)</vt:lpstr>
      <vt:lpstr>Lists</vt:lpstr>
    </vt:vector>
  </TitlesOfParts>
  <Company>United Wholesale Mortgage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Eller</dc:creator>
  <cp:lastModifiedBy>cloudconvert_17</cp:lastModifiedBy>
  <dcterms:created xsi:type="dcterms:W3CDTF">2022-09-22T13:12:37Z</dcterms:created>
  <dcterms:modified xsi:type="dcterms:W3CDTF">2023-04-06T10:00:21Z</dcterms:modified>
</cp:coreProperties>
</file>